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5" yWindow="-15" windowWidth="15570" windowHeight="8850"/>
  </bookViews>
  <sheets>
    <sheet name="Тариф двостав ТЕ Дод.1" sheetId="109" r:id="rId1"/>
    <sheet name="дод.2тариф ТЕ" sheetId="108" r:id="rId2"/>
    <sheet name="Розрахунок прибутку" sheetId="104" r:id="rId3"/>
    <sheet name="розр. пост. дод.5" sheetId="107" r:id="rId4"/>
    <sheet name="розр. транспорт. дод4" sheetId="106" r:id="rId5"/>
    <sheet name="розр.виробн. дод.3" sheetId="105" r:id="rId6"/>
    <sheet name="Прямі" sheetId="13" r:id="rId7"/>
    <sheet name="Повна собів" sheetId="12" r:id="rId8"/>
    <sheet name="Втрати" sheetId="103" r:id="rId9"/>
    <sheet name="Паливо" sheetId="18" r:id="rId10"/>
    <sheet name="Електр_енерг" sheetId="20" r:id="rId11"/>
    <sheet name="Вода_Водовід" sheetId="25" r:id="rId12"/>
    <sheet name="ЗП_Всього по під-ву" sheetId="29" r:id="rId13"/>
    <sheet name="ЗП_Виробнич" sheetId="70" r:id="rId14"/>
    <sheet name="ЗП_Транспортування" sheetId="95" r:id="rId15"/>
    <sheet name="ЗП_Постачання" sheetId="96" r:id="rId16"/>
    <sheet name="ЗП_ЗагальноВиробнич" sheetId="92" r:id="rId17"/>
    <sheet name="ЗП_Адмін" sheetId="94" r:id="rId18"/>
    <sheet name="ЗП_інша діяльність" sheetId="102" r:id="rId19"/>
    <sheet name="З_вироб" sheetId="14" r:id="rId20"/>
    <sheet name="Адмін" sheetId="15" r:id="rId21"/>
    <sheet name="Амортизація " sheetId="28" r:id="rId22"/>
    <sheet name="Витрати пального" sheetId="98" r:id="rId23"/>
    <sheet name="Витрати мастил" sheetId="101" r:id="rId24"/>
    <sheet name="ПММ всього" sheetId="99" r:id="rId25"/>
    <sheet name="Річ_план_ВТП_ТЕ" sheetId="73" r:id="rId26"/>
    <sheet name="Вхід_дані" sheetId="2" r:id="rId27"/>
    <sheet name="Спецодежда" sheetId="72" r:id="rId28"/>
    <sheet name="Охорон_ прац" sheetId="27" r:id="rId29"/>
    <sheet name="структура 1 Гкал" sheetId="89" r:id="rId30"/>
  </sheets>
  <externalReferences>
    <externalReference r:id="rId31"/>
    <externalReference r:id="rId32"/>
    <externalReference r:id="rId33"/>
    <externalReference r:id="rId34"/>
  </externalReferences>
  <definedNames>
    <definedName name="asdfgfgh">Вхід_дані!#REF!</definedName>
    <definedName name="asdfghj">'[1]Вхідні дані'!#REF!</definedName>
    <definedName name="dfjfdjjh">#REF!</definedName>
    <definedName name="djfjk">'[1]Вхідні дані'!#REF!</definedName>
    <definedName name="dshjhfj">Вхід_дані!#REF!</definedName>
    <definedName name="ery">Вхід_дані!#REF!</definedName>
    <definedName name="qwe">'[1]Вхідні дані'!#REF!</definedName>
    <definedName name="upuoip">#REF!</definedName>
    <definedName name="_xlnm.Print_Titles" localSheetId="26">Вхід_дані!$3:$3</definedName>
    <definedName name="ЗП_адмін" localSheetId="23">'[1]Вхідні дані'!#REF!</definedName>
    <definedName name="ЗП_адмін" localSheetId="17">'[1]Вхідні дані'!#REF!</definedName>
    <definedName name="ЗП_адмін" localSheetId="18">'[1]Вхідні дані'!#REF!</definedName>
    <definedName name="ЗП_адмін" localSheetId="15">'[1]Вхідні дані'!#REF!</definedName>
    <definedName name="ЗП_адмін" localSheetId="14">'[1]Вхідні дані'!#REF!</definedName>
    <definedName name="ЗП_адмін">'[1]Вхідні дані'!#REF!</definedName>
    <definedName name="івпврп" localSheetId="23">Вхід_дані!#REF!</definedName>
    <definedName name="івпврп" localSheetId="18">Вхід_дані!#REF!</definedName>
    <definedName name="івпврп" localSheetId="15">Вхід_дані!#REF!</definedName>
    <definedName name="івпврп" localSheetId="14">Вхід_дані!#REF!</definedName>
    <definedName name="івпврп">Вхід_дані!#REF!</definedName>
    <definedName name="іп" localSheetId="23">#REF!</definedName>
    <definedName name="іп" localSheetId="18">#REF!</definedName>
    <definedName name="іп" localSheetId="15">#REF!</definedName>
    <definedName name="іп" localSheetId="14">#REF!</definedName>
    <definedName name="іп">#REF!</definedName>
    <definedName name="іррр" localSheetId="23">'[1]Вхідні дані'!#REF!</definedName>
    <definedName name="іррр" localSheetId="18">'[1]Вхідні дані'!#REF!</definedName>
    <definedName name="іррр" localSheetId="15">'[1]Вхідні дані'!#REF!</definedName>
    <definedName name="іррр" localSheetId="14">'[1]Вхідні дані'!#REF!</definedName>
    <definedName name="іррр">'[1]Вхідні дані'!#REF!</definedName>
    <definedName name="іфрвр" localSheetId="23">Вхід_дані!#REF!</definedName>
    <definedName name="іфрвр" localSheetId="18">Вхід_дані!#REF!</definedName>
    <definedName name="іфрвр" localSheetId="15">Вхід_дані!#REF!</definedName>
    <definedName name="іфрвр">Вхід_дані!#REF!</definedName>
    <definedName name="йц" localSheetId="23">'[1]Вхідні дані'!#REF!</definedName>
    <definedName name="йц" localSheetId="17">'[1]Вхідні дані'!#REF!</definedName>
    <definedName name="йц" localSheetId="18">'[1]Вхідні дані'!#REF!</definedName>
    <definedName name="йц" localSheetId="15">'[1]Вхідні дані'!#REF!</definedName>
    <definedName name="йц" localSheetId="14">'[1]Вхідні дані'!#REF!</definedName>
    <definedName name="йц">'[1]Вхідні дані'!#REF!</definedName>
    <definedName name="_xlnm.Print_Area" localSheetId="20">Адмін!$A$1:$J$29</definedName>
    <definedName name="_xlnm.Print_Area" localSheetId="21">'Амортизація '!$B$1:$I$14</definedName>
    <definedName name="_xlnm.Print_Area" localSheetId="22">'Витрати пального'!$A$1:$T$15</definedName>
    <definedName name="_xlnm.Print_Area" localSheetId="11">Вода_Водовід!$A$1:$O$26</definedName>
    <definedName name="_xlnm.Print_Area" localSheetId="26">Вхід_дані!$A$1:$H$74</definedName>
    <definedName name="_xlnm.Print_Area" localSheetId="1">'дод.2тариф ТЕ'!$A$1:$H$44</definedName>
    <definedName name="_xlnm.Print_Area" localSheetId="10">Електр_енерг!$B$1:$J$31</definedName>
    <definedName name="_xlnm.Print_Area" localSheetId="19">З_вироб!$A$1:$I$26</definedName>
    <definedName name="_xlnm.Print_Area" localSheetId="17">ЗП_Адмін!$A$1:$N$20</definedName>
    <definedName name="_xlnm.Print_Area" localSheetId="13">ЗП_Виробнич!$A$1:$W$21</definedName>
    <definedName name="_xlnm.Print_Area" localSheetId="12">'ЗП_Всього по під-ву'!$B$1:$I$47</definedName>
    <definedName name="_xlnm.Print_Area" localSheetId="16">ЗП_ЗагальноВиробнич!$A$1:$S$22</definedName>
    <definedName name="_xlnm.Print_Area" localSheetId="18">'ЗП_інша діяльність'!$A$1:$S$14</definedName>
    <definedName name="_xlnm.Print_Area" localSheetId="15">ЗП_Постачання!$A$1:$M$16</definedName>
    <definedName name="_xlnm.Print_Area" localSheetId="14">ЗП_Транспортування!$A$1:$S$18</definedName>
    <definedName name="_xlnm.Print_Area" localSheetId="28">'Охорон_ прац'!$B$1:$H$40</definedName>
    <definedName name="_xlnm.Print_Area" localSheetId="9">Паливо!$A$1:$F$22</definedName>
    <definedName name="_xlnm.Print_Area" localSheetId="24">'ПММ всього'!$A$1:$R$28</definedName>
    <definedName name="_xlnm.Print_Area" localSheetId="7">'Повна собів'!$B$1:$G$99</definedName>
    <definedName name="_xlnm.Print_Area" localSheetId="6">Прямі!$A$1:$F$74</definedName>
    <definedName name="_xlnm.Print_Area" localSheetId="25">Річ_план_ВТП_ТЕ!$A$1:$Q$32</definedName>
    <definedName name="_xlnm.Print_Area" localSheetId="3">'розр. пост. дод.5'!$A$1:$H$43</definedName>
    <definedName name="_xlnm.Print_Area" localSheetId="5">'розр.виробн. дод.3'!$A$1:$H$53</definedName>
    <definedName name="_xlnm.Print_Area" localSheetId="2">'Розрахунок прибутку'!$A$1:$I$17</definedName>
    <definedName name="_xlnm.Print_Area" localSheetId="0">'Тариф двостав ТЕ Дод.1'!$A$1:$H$58</definedName>
    <definedName name="облік" localSheetId="8">[2]скрыть!$D$4:$D$6</definedName>
    <definedName name="облік" localSheetId="1">[2]скрыть!$D$4:$D$6</definedName>
    <definedName name="облік" localSheetId="3">[2]скрыть!$D$4:$D$6</definedName>
    <definedName name="облік" localSheetId="4">[2]скрыть!$D$4:$D$6</definedName>
    <definedName name="облік" localSheetId="5">[2]скрыть!$D$4:$D$6</definedName>
    <definedName name="облік" localSheetId="2">[2]скрыть!$D$4:$D$6</definedName>
    <definedName name="облік" localSheetId="0">[2]скрыть!$D$4:$D$6</definedName>
    <definedName name="облік">[3]Дод.11_Будинки!$D$4:$D$6</definedName>
    <definedName name="облікГВП" localSheetId="8">[2]скрыть!$G$4:$G$6</definedName>
    <definedName name="облікГВП" localSheetId="1">[2]скрыть!$G$4:$G$6</definedName>
    <definedName name="облікГВП" localSheetId="3">[2]скрыть!$G$4:$G$6</definedName>
    <definedName name="облікГВП" localSheetId="4">[2]скрыть!$G$4:$G$6</definedName>
    <definedName name="облікГВП" localSheetId="5">[2]скрыть!$G$4:$G$6</definedName>
    <definedName name="облікГВП" localSheetId="2">[2]скрыть!$G$4:$G$6</definedName>
    <definedName name="облікГВП" localSheetId="0">[2]скрыть!$G$4:$G$6</definedName>
    <definedName name="облікГВП">[3]Дод.11_Будинки!$G$4:$G$6</definedName>
    <definedName name="отклонение" localSheetId="23">Вхід_дані!#REF!</definedName>
    <definedName name="отклонение" localSheetId="17">Вхід_дані!#REF!</definedName>
    <definedName name="отклонение" localSheetId="16">Вхід_дані!#REF!</definedName>
    <definedName name="отклонение" localSheetId="18">Вхід_дані!#REF!</definedName>
    <definedName name="отклонение" localSheetId="15">Вхід_дані!#REF!</definedName>
    <definedName name="отклонение" localSheetId="14">Вхід_дані!#REF!</definedName>
    <definedName name="отклонение" localSheetId="28">Вхід_дані!#REF!</definedName>
    <definedName name="отклонение" localSheetId="25">#REF!</definedName>
    <definedName name="отклонение">Вхід_дані!#REF!</definedName>
    <definedName name="отклонение_15" localSheetId="23">#REF!</definedName>
    <definedName name="отклонение_15" localSheetId="17">#REF!</definedName>
    <definedName name="отклонение_15" localSheetId="16">#REF!</definedName>
    <definedName name="отклонение_15" localSheetId="18">#REF!</definedName>
    <definedName name="отклонение_15" localSheetId="15">#REF!</definedName>
    <definedName name="отклонение_15" localSheetId="14">#REF!</definedName>
    <definedName name="отклонение_15">#REF!</definedName>
    <definedName name="отклонение_18">NA()</definedName>
    <definedName name="отклонение_18_15">NA()</definedName>
    <definedName name="отклонение_2" localSheetId="23">'[1]Вхідні дані'!#REF!</definedName>
    <definedName name="отклонение_2" localSheetId="17">'[1]Вхідні дані'!#REF!</definedName>
    <definedName name="отклонение_2" localSheetId="16">'[1]Вхідні дані'!#REF!</definedName>
    <definedName name="отклонение_2" localSheetId="18">'[1]Вхідні дані'!#REF!</definedName>
    <definedName name="отклонение_2" localSheetId="15">'[1]Вхідні дані'!#REF!</definedName>
    <definedName name="отклонение_2" localSheetId="14">'[1]Вхідні дані'!#REF!</definedName>
    <definedName name="отклонение_2">'[1]Вхідні дані'!#REF!</definedName>
    <definedName name="отклонение_27">NA()</definedName>
    <definedName name="отклонение_31">NA()</definedName>
    <definedName name="отклонение_33">NA()</definedName>
    <definedName name="отклонение_34">NA()</definedName>
    <definedName name="отклонение_35">NA()</definedName>
    <definedName name="отклонение_36">NA()</definedName>
    <definedName name="отклонение_38">NA()</definedName>
    <definedName name="отклонение_4">NA()</definedName>
    <definedName name="охорона_праці">NA()</definedName>
    <definedName name="охорона_праці_15">NA()</definedName>
    <definedName name="пдв" localSheetId="23">Вхід_дані!#REF!</definedName>
    <definedName name="пдв" localSheetId="17">Вхід_дані!#REF!</definedName>
    <definedName name="пдв" localSheetId="16">Вхід_дані!#REF!</definedName>
    <definedName name="пдв" localSheetId="18">Вхід_дані!#REF!</definedName>
    <definedName name="пдв" localSheetId="15">Вхід_дані!#REF!</definedName>
    <definedName name="пдв" localSheetId="14">Вхід_дані!#REF!</definedName>
    <definedName name="пдв" localSheetId="28">Вхід_дані!#REF!</definedName>
    <definedName name="пдв" localSheetId="25">#REF!</definedName>
    <definedName name="пдв">Вхід_дані!#REF!</definedName>
    <definedName name="пдв_15" localSheetId="23">#REF!</definedName>
    <definedName name="пдв_15" localSheetId="17">#REF!</definedName>
    <definedName name="пдв_15" localSheetId="16">#REF!</definedName>
    <definedName name="пдв_15" localSheetId="18">#REF!</definedName>
    <definedName name="пдв_15" localSheetId="15">#REF!</definedName>
    <definedName name="пдв_15" localSheetId="14">#REF!</definedName>
    <definedName name="пдв_15">#REF!</definedName>
    <definedName name="пдв_18">NA()</definedName>
    <definedName name="пдв_18_15">NA()</definedName>
    <definedName name="пдв_2" localSheetId="23">'[1]Вхідні дані'!#REF!</definedName>
    <definedName name="пдв_2" localSheetId="17">'[1]Вхідні дані'!#REF!</definedName>
    <definedName name="пдв_2" localSheetId="16">'[1]Вхідні дані'!#REF!</definedName>
    <definedName name="пдв_2" localSheetId="18">'[1]Вхідні дані'!#REF!</definedName>
    <definedName name="пдв_2" localSheetId="15">'[1]Вхідні дані'!#REF!</definedName>
    <definedName name="пдв_2" localSheetId="14">'[1]Вхідні дані'!#REF!</definedName>
    <definedName name="пдв_2">'[1]Вхідні дані'!#REF!</definedName>
    <definedName name="пдв_27">NA()</definedName>
    <definedName name="пдв_31">NA()</definedName>
    <definedName name="пдв_33">NA()</definedName>
    <definedName name="пдв_34">NA()</definedName>
    <definedName name="пдв_35">NA()</definedName>
    <definedName name="пдв_36">NA()</definedName>
    <definedName name="пдв_38">NA()</definedName>
    <definedName name="пдв_4">NA()</definedName>
    <definedName name="піврві" localSheetId="23">'[1]Вхідні дані'!#REF!</definedName>
    <definedName name="піврві" localSheetId="18">'[1]Вхідні дані'!#REF!</definedName>
    <definedName name="піврві" localSheetId="15">'[1]Вхідні дані'!#REF!</definedName>
    <definedName name="піврві">'[1]Вхідні дані'!#REF!</definedName>
    <definedName name="поверхи" localSheetId="8">[2]скрыть!$B$4:$B$9</definedName>
    <definedName name="поверхи" localSheetId="1">[2]скрыть!$B$4:$B$9</definedName>
    <definedName name="поверхи" localSheetId="3">[2]скрыть!$B$4:$B$9</definedName>
    <definedName name="поверхи" localSheetId="4">[2]скрыть!$B$4:$B$9</definedName>
    <definedName name="поверхи" localSheetId="5">[2]скрыть!$B$4:$B$9</definedName>
    <definedName name="поверхи" localSheetId="2">[2]скрыть!$B$4:$B$9</definedName>
    <definedName name="поверхи" localSheetId="0">[2]скрыть!$B$4:$B$9</definedName>
    <definedName name="поверхи">[3]Дод.11_Будинки!$B$4:$B$9</definedName>
    <definedName name="ріуру5" localSheetId="23">#REF!</definedName>
    <definedName name="ріуру5" localSheetId="18">#REF!</definedName>
    <definedName name="ріуру5" localSheetId="15">#REF!</definedName>
    <definedName name="ріуру5">#REF!</definedName>
    <definedName name="це" localSheetId="23">'[1]Вхідні дані'!#REF!</definedName>
    <definedName name="це" localSheetId="18">'[1]Вхідні дані'!#REF!</definedName>
    <definedName name="це" localSheetId="15">'[1]Вхідні дані'!#REF!</definedName>
    <definedName name="це">'[1]Вхідні дані'!#REF!</definedName>
  </definedNames>
  <calcPr calcId="125725"/>
</workbook>
</file>

<file path=xl/calcChain.xml><?xml version="1.0" encoding="utf-8"?>
<calcChain xmlns="http://schemas.openxmlformats.org/spreadsheetml/2006/main">
  <c r="C26" i="18"/>
  <c r="E69" i="12"/>
  <c r="E35"/>
  <c r="E3"/>
  <c r="D17" i="13"/>
  <c r="D36"/>
  <c r="D55"/>
  <c r="E26" i="18"/>
  <c r="G3" i="12" s="1"/>
  <c r="G25" s="1"/>
  <c r="D26" i="18"/>
  <c r="F69" i="12" s="1"/>
  <c r="C27" i="18"/>
  <c r="D7" s="1"/>
  <c r="E28"/>
  <c r="B7" i="103" s="1"/>
  <c r="E27" i="18"/>
  <c r="F7" s="1"/>
  <c r="F24" i="108"/>
  <c r="G24"/>
  <c r="H24"/>
  <c r="C28" i="18"/>
  <c r="F49" i="106" s="1"/>
  <c r="D14" i="18"/>
  <c r="L16" i="20"/>
  <c r="L8" i="109"/>
  <c r="G17" i="20"/>
  <c r="W11" i="70"/>
  <c r="B15" i="14"/>
  <c r="I16" i="94"/>
  <c r="H13" i="101"/>
  <c r="T12" i="98"/>
  <c r="M16" i="20"/>
  <c r="F14" i="18"/>
  <c r="E14"/>
  <c r="F17"/>
  <c r="E17"/>
  <c r="D17"/>
  <c r="F34" i="108"/>
  <c r="G34"/>
  <c r="H34"/>
  <c r="E8" i="109"/>
  <c r="K8" s="1"/>
  <c r="E35" i="108"/>
  <c r="E34" s="1"/>
  <c r="D20" i="29"/>
  <c r="J16" i="18"/>
  <c r="M16" s="1"/>
  <c r="M17" s="1"/>
  <c r="M15"/>
  <c r="M19" i="89"/>
  <c r="J19"/>
  <c r="G19"/>
  <c r="E9" i="109"/>
  <c r="L9" s="1"/>
  <c r="E33" i="107"/>
  <c r="E34"/>
  <c r="E40"/>
  <c r="F32" i="108"/>
  <c r="G32"/>
  <c r="H32"/>
  <c r="E52" i="106"/>
  <c r="E11"/>
  <c r="E29"/>
  <c r="E30"/>
  <c r="E31"/>
  <c r="E33"/>
  <c r="E51"/>
  <c r="E28" i="108"/>
  <c r="E32"/>
  <c r="H36" i="109"/>
  <c r="G36"/>
  <c r="F36"/>
  <c r="E36"/>
  <c r="E18"/>
  <c r="H22"/>
  <c r="H49" s="1"/>
  <c r="G22"/>
  <c r="G49"/>
  <c r="E39" i="106"/>
  <c r="E38"/>
  <c r="H28"/>
  <c r="G28"/>
  <c r="F28"/>
  <c r="E28" s="1"/>
  <c r="E39" i="105"/>
  <c r="E38"/>
  <c r="H33"/>
  <c r="G33"/>
  <c r="F33"/>
  <c r="E32"/>
  <c r="H28"/>
  <c r="E28" s="1"/>
  <c r="E12"/>
  <c r="B20" i="104"/>
  <c r="F19"/>
  <c r="F20" s="1"/>
  <c r="C19"/>
  <c r="B19" s="1"/>
  <c r="B18"/>
  <c r="D11" i="13"/>
  <c r="O29" i="102"/>
  <c r="N29"/>
  <c r="M29"/>
  <c r="L29"/>
  <c r="K29"/>
  <c r="J29"/>
  <c r="D29"/>
  <c r="I21" i="29" s="1"/>
  <c r="C29" i="102"/>
  <c r="S28"/>
  <c r="D24"/>
  <c r="O11"/>
  <c r="N11"/>
  <c r="M11"/>
  <c r="L11"/>
  <c r="K11"/>
  <c r="J11"/>
  <c r="D11"/>
  <c r="H21" i="29" s="1"/>
  <c r="C11" i="102"/>
  <c r="S10"/>
  <c r="S11" s="1"/>
  <c r="H10" i="29" s="1"/>
  <c r="D6" i="102"/>
  <c r="E10" s="1"/>
  <c r="I10" s="1"/>
  <c r="R10" s="1"/>
  <c r="R11" s="1"/>
  <c r="H9" i="29" s="1"/>
  <c r="H8" s="1"/>
  <c r="E33" i="105"/>
  <c r="S29" i="102"/>
  <c r="I10" i="29" s="1"/>
  <c r="E47" i="105"/>
  <c r="E22" i="109"/>
  <c r="E49" s="1"/>
  <c r="F22"/>
  <c r="F49" s="1"/>
  <c r="F27" i="107"/>
  <c r="G26"/>
  <c r="G28"/>
  <c r="H28" s="1"/>
  <c r="F25"/>
  <c r="G24"/>
  <c r="G23" s="1"/>
  <c r="F26"/>
  <c r="G25"/>
  <c r="F28"/>
  <c r="G27"/>
  <c r="F24"/>
  <c r="C17" i="94"/>
  <c r="C23" i="29" s="1"/>
  <c r="M16" i="94"/>
  <c r="N16"/>
  <c r="N14"/>
  <c r="N13"/>
  <c r="N12"/>
  <c r="M12"/>
  <c r="K12"/>
  <c r="N11"/>
  <c r="M11"/>
  <c r="K11"/>
  <c r="L11"/>
  <c r="N10"/>
  <c r="M10"/>
  <c r="M18" s="1"/>
  <c r="K10"/>
  <c r="L10" s="1"/>
  <c r="D6"/>
  <c r="D11" s="1"/>
  <c r="N18"/>
  <c r="D10"/>
  <c r="L12"/>
  <c r="K16"/>
  <c r="L16"/>
  <c r="F23" i="107"/>
  <c r="H24"/>
  <c r="H26"/>
  <c r="H25"/>
  <c r="H27"/>
  <c r="O19" i="92"/>
  <c r="N19"/>
  <c r="L19"/>
  <c r="C19"/>
  <c r="C22" i="29"/>
  <c r="S18" i="92"/>
  <c r="R18"/>
  <c r="P18"/>
  <c r="S17"/>
  <c r="R17"/>
  <c r="P17"/>
  <c r="S16"/>
  <c r="R16"/>
  <c r="P16"/>
  <c r="S13"/>
  <c r="S11"/>
  <c r="S10"/>
  <c r="R10"/>
  <c r="P10"/>
  <c r="Q10" s="1"/>
  <c r="C6"/>
  <c r="D18"/>
  <c r="M13" i="96"/>
  <c r="G10" i="29" s="1"/>
  <c r="D10" i="92"/>
  <c r="D11"/>
  <c r="H11"/>
  <c r="R11" s="1"/>
  <c r="D12"/>
  <c r="H12"/>
  <c r="R12" s="1"/>
  <c r="D13"/>
  <c r="D14"/>
  <c r="H14" s="1"/>
  <c r="D15"/>
  <c r="H15" s="1"/>
  <c r="D16"/>
  <c r="Q16"/>
  <c r="D17"/>
  <c r="Q17"/>
  <c r="Q18"/>
  <c r="H23" i="107"/>
  <c r="D13" i="96"/>
  <c r="G21" i="29" s="1"/>
  <c r="C13" i="96"/>
  <c r="H13" i="92"/>
  <c r="R13" s="1"/>
  <c r="M12"/>
  <c r="M19" s="1"/>
  <c r="P11"/>
  <c r="D6" i="96"/>
  <c r="E10" s="1"/>
  <c r="I10" s="1"/>
  <c r="O15" i="95"/>
  <c r="N15"/>
  <c r="D15"/>
  <c r="F21" i="29" s="1"/>
  <c r="C15" i="95"/>
  <c r="D6"/>
  <c r="E14" s="1"/>
  <c r="Q11" i="92"/>
  <c r="P13"/>
  <c r="K19"/>
  <c r="E12" i="95"/>
  <c r="I12" s="1"/>
  <c r="E13"/>
  <c r="P12" i="92"/>
  <c r="Q12" s="1"/>
  <c r="S12"/>
  <c r="S18" i="70"/>
  <c r="R18"/>
  <c r="C18"/>
  <c r="E21" i="29"/>
  <c r="D21" s="1"/>
  <c r="Q13" i="92"/>
  <c r="I6" i="70"/>
  <c r="D11" s="1"/>
  <c r="H11" s="1"/>
  <c r="J16" i="29"/>
  <c r="J12"/>
  <c r="L11"/>
  <c r="D11"/>
  <c r="J10"/>
  <c r="D49" i="28"/>
  <c r="C48"/>
  <c r="C47"/>
  <c r="C46"/>
  <c r="C45"/>
  <c r="C44"/>
  <c r="C49"/>
  <c r="N31"/>
  <c r="M31"/>
  <c r="L31"/>
  <c r="K31"/>
  <c r="J31"/>
  <c r="I18"/>
  <c r="I17"/>
  <c r="I16"/>
  <c r="I15"/>
  <c r="I13"/>
  <c r="C14" i="15"/>
  <c r="K134" i="72"/>
  <c r="H130"/>
  <c r="H129"/>
  <c r="H128"/>
  <c r="H127"/>
  <c r="H126"/>
  <c r="H125"/>
  <c r="H124"/>
  <c r="H123"/>
  <c r="H122"/>
  <c r="H121"/>
  <c r="H120"/>
  <c r="H119"/>
  <c r="H118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K132" s="1"/>
  <c r="H11"/>
  <c r="H10"/>
  <c r="H9"/>
  <c r="H8"/>
  <c r="F7"/>
  <c r="H7" s="1"/>
  <c r="H132" s="1"/>
  <c r="J132" s="1"/>
  <c r="H6"/>
  <c r="H5"/>
  <c r="G45" i="27"/>
  <c r="G44" s="1"/>
  <c r="C17" s="1"/>
  <c r="F45"/>
  <c r="F44"/>
  <c r="E37"/>
  <c r="C37"/>
  <c r="F37" s="1"/>
  <c r="E36"/>
  <c r="F36" s="1"/>
  <c r="E35"/>
  <c r="G35"/>
  <c r="F35"/>
  <c r="E34"/>
  <c r="F34" s="1"/>
  <c r="E33"/>
  <c r="F33"/>
  <c r="E32"/>
  <c r="E31"/>
  <c r="F31" s="1"/>
  <c r="F24" s="1"/>
  <c r="E30"/>
  <c r="G30" s="1"/>
  <c r="E29"/>
  <c r="F29"/>
  <c r="E28"/>
  <c r="G28"/>
  <c r="F28"/>
  <c r="E27"/>
  <c r="G27" s="1"/>
  <c r="G24" s="1"/>
  <c r="E26"/>
  <c r="F26"/>
  <c r="E25"/>
  <c r="G25"/>
  <c r="C18"/>
  <c r="C14"/>
  <c r="C13"/>
  <c r="F25"/>
  <c r="G26"/>
  <c r="F27"/>
  <c r="G29"/>
  <c r="F30"/>
  <c r="G31"/>
  <c r="F32"/>
  <c r="G32"/>
  <c r="G33"/>
  <c r="G34"/>
  <c r="G37"/>
  <c r="G6"/>
  <c r="F6"/>
  <c r="E6"/>
  <c r="C6" s="1"/>
  <c r="C10" i="28"/>
  <c r="D10"/>
  <c r="C22" i="25"/>
  <c r="K20"/>
  <c r="K19"/>
  <c r="M17"/>
  <c r="D17"/>
  <c r="C17" s="1"/>
  <c r="K17" s="1"/>
  <c r="L17" s="1"/>
  <c r="D16"/>
  <c r="C16"/>
  <c r="M15"/>
  <c r="D15"/>
  <c r="C15" s="1"/>
  <c r="K15" s="1"/>
  <c r="D14"/>
  <c r="C14"/>
  <c r="K14" s="1"/>
  <c r="M13"/>
  <c r="D13"/>
  <c r="D12" s="1"/>
  <c r="Q12"/>
  <c r="P12"/>
  <c r="O12"/>
  <c r="K16"/>
  <c r="N14"/>
  <c r="N16"/>
  <c r="L16" s="1"/>
  <c r="M14"/>
  <c r="L14"/>
  <c r="N13"/>
  <c r="N12" s="1"/>
  <c r="C28" i="13" s="1"/>
  <c r="L13" i="25"/>
  <c r="N15"/>
  <c r="L15"/>
  <c r="M16"/>
  <c r="I12"/>
  <c r="H12"/>
  <c r="G12"/>
  <c r="F12"/>
  <c r="E12"/>
  <c r="C18"/>
  <c r="K18" s="1"/>
  <c r="M18"/>
  <c r="L18" s="1"/>
  <c r="M12"/>
  <c r="C10" i="13" s="1"/>
  <c r="N21" i="18"/>
  <c r="J12"/>
  <c r="D28" i="20"/>
  <c r="D24"/>
  <c r="E19"/>
  <c r="G19"/>
  <c r="D19"/>
  <c r="F17"/>
  <c r="F19" s="1"/>
  <c r="N16"/>
  <c r="E15"/>
  <c r="H14"/>
  <c r="D14"/>
  <c r="D16"/>
  <c r="D20" s="1"/>
  <c r="D13"/>
  <c r="D10"/>
  <c r="F9"/>
  <c r="E9"/>
  <c r="D11"/>
  <c r="E14"/>
  <c r="G14" s="1"/>
  <c r="E16"/>
  <c r="B18" i="14"/>
  <c r="B11"/>
  <c r="F71" i="13"/>
  <c r="E71"/>
  <c r="D71"/>
  <c r="C71"/>
  <c r="F66"/>
  <c r="D66"/>
  <c r="F63"/>
  <c r="E63"/>
  <c r="D54"/>
  <c r="C53"/>
  <c r="D49"/>
  <c r="C48"/>
  <c r="F65"/>
  <c r="D46"/>
  <c r="D34"/>
  <c r="C33"/>
  <c r="E70"/>
  <c r="D33"/>
  <c r="D48"/>
  <c r="E76" i="12" s="1"/>
  <c r="D26" i="13"/>
  <c r="D16"/>
  <c r="C15"/>
  <c r="D70"/>
  <c r="D15"/>
  <c r="D97" i="12"/>
  <c r="D82"/>
  <c r="D77"/>
  <c r="D76"/>
  <c r="E74"/>
  <c r="D74"/>
  <c r="D64"/>
  <c r="D19" i="89"/>
  <c r="E82" i="12"/>
  <c r="F14" i="107"/>
  <c r="D48" i="12"/>
  <c r="D47"/>
  <c r="D40"/>
  <c r="E48"/>
  <c r="F18" i="106" s="1"/>
  <c r="E25" i="12"/>
  <c r="D16"/>
  <c r="D15"/>
  <c r="E11"/>
  <c r="F14" i="105" s="1"/>
  <c r="D11" i="12"/>
  <c r="E15"/>
  <c r="F18" i="105" s="1"/>
  <c r="I28" i="73"/>
  <c r="M26"/>
  <c r="L26"/>
  <c r="K26"/>
  <c r="J26"/>
  <c r="I26"/>
  <c r="D26" s="1"/>
  <c r="I24"/>
  <c r="P23"/>
  <c r="P30"/>
  <c r="O23"/>
  <c r="O30"/>
  <c r="N23"/>
  <c r="I23"/>
  <c r="I30" s="1"/>
  <c r="H23"/>
  <c r="H30" s="1"/>
  <c r="G23"/>
  <c r="G25" s="1"/>
  <c r="F23"/>
  <c r="F30" s="1"/>
  <c r="E23"/>
  <c r="E30" s="1"/>
  <c r="D21"/>
  <c r="Q21" s="1"/>
  <c r="P20"/>
  <c r="P29" s="1"/>
  <c r="O20"/>
  <c r="O29" s="1"/>
  <c r="N20"/>
  <c r="N29" s="1"/>
  <c r="I20"/>
  <c r="Q16"/>
  <c r="D14"/>
  <c r="D13"/>
  <c r="D12"/>
  <c r="P11"/>
  <c r="O11"/>
  <c r="N11"/>
  <c r="M11"/>
  <c r="L11"/>
  <c r="K11"/>
  <c r="K9" s="1"/>
  <c r="K10" s="1"/>
  <c r="Q10" s="1"/>
  <c r="J11"/>
  <c r="I11"/>
  <c r="I9" s="1"/>
  <c r="I10" s="1"/>
  <c r="H11"/>
  <c r="G11"/>
  <c r="F11"/>
  <c r="E11"/>
  <c r="D11" s="1"/>
  <c r="Q11" s="1"/>
  <c r="D10"/>
  <c r="L9"/>
  <c r="J9"/>
  <c r="D9"/>
  <c r="D26" i="2"/>
  <c r="D34" s="1"/>
  <c r="D13"/>
  <c r="D9"/>
  <c r="D5"/>
  <c r="K21" i="99"/>
  <c r="H21"/>
  <c r="E21"/>
  <c r="K19"/>
  <c r="H19"/>
  <c r="E19"/>
  <c r="Q11"/>
  <c r="N11"/>
  <c r="K11"/>
  <c r="E11"/>
  <c r="N10"/>
  <c r="K10"/>
  <c r="H10"/>
  <c r="Q9"/>
  <c r="N9"/>
  <c r="K9"/>
  <c r="H9"/>
  <c r="E9"/>
  <c r="Q8"/>
  <c r="I8"/>
  <c r="I12" s="1"/>
  <c r="H8"/>
  <c r="Q7"/>
  <c r="N7"/>
  <c r="K7"/>
  <c r="H7"/>
  <c r="E7"/>
  <c r="S12" i="98"/>
  <c r="R12"/>
  <c r="R11"/>
  <c r="R10"/>
  <c r="R9"/>
  <c r="R8"/>
  <c r="T8" s="1"/>
  <c r="R7"/>
  <c r="R13" i="101"/>
  <c r="Q13"/>
  <c r="P13"/>
  <c r="R5"/>
  <c r="Q5"/>
  <c r="P5"/>
  <c r="E16" i="12"/>
  <c r="F19" i="105" s="1"/>
  <c r="C12" i="27"/>
  <c r="R9" i="99"/>
  <c r="R7"/>
  <c r="L19"/>
  <c r="M19" s="1"/>
  <c r="G30" i="73"/>
  <c r="T7" i="98"/>
  <c r="F8" i="101" s="1"/>
  <c r="T9" i="98"/>
  <c r="F10" i="101" s="1"/>
  <c r="Q10" s="1"/>
  <c r="T10" i="98"/>
  <c r="F11" i="101" s="1"/>
  <c r="R11" s="1"/>
  <c r="T11" i="98"/>
  <c r="F12" i="101" s="1"/>
  <c r="D46" i="2"/>
  <c r="E17" i="73"/>
  <c r="F17"/>
  <c r="H17"/>
  <c r="N17"/>
  <c r="N18"/>
  <c r="O17"/>
  <c r="O18" s="1"/>
  <c r="P17"/>
  <c r="P18"/>
  <c r="F25"/>
  <c r="E25"/>
  <c r="H25"/>
  <c r="N25"/>
  <c r="O25"/>
  <c r="P25"/>
  <c r="N27"/>
  <c r="O27"/>
  <c r="P27"/>
  <c r="N30"/>
  <c r="G17"/>
  <c r="E40" i="12"/>
  <c r="C8" i="99"/>
  <c r="E8"/>
  <c r="R8" s="1"/>
  <c r="K8"/>
  <c r="L8"/>
  <c r="N8" s="1"/>
  <c r="N12" s="1"/>
  <c r="C16" i="15"/>
  <c r="B17" i="14"/>
  <c r="B19"/>
  <c r="L21" i="99"/>
  <c r="M21" s="1"/>
  <c r="K12"/>
  <c r="F15" i="20"/>
  <c r="G15"/>
  <c r="H15" s="1"/>
  <c r="H16" s="1"/>
  <c r="I13" i="95"/>
  <c r="I14"/>
  <c r="J14" s="1"/>
  <c r="D15" i="70"/>
  <c r="H15"/>
  <c r="E11" i="96"/>
  <c r="I11"/>
  <c r="L11" s="1"/>
  <c r="E77" i="12"/>
  <c r="F9" i="107" s="1"/>
  <c r="M20" i="25"/>
  <c r="O20"/>
  <c r="N20"/>
  <c r="P20"/>
  <c r="Q20"/>
  <c r="E20" i="20"/>
  <c r="M24" i="73"/>
  <c r="M23" s="1"/>
  <c r="M28"/>
  <c r="L24"/>
  <c r="L23" s="1"/>
  <c r="L28"/>
  <c r="J10"/>
  <c r="L10"/>
  <c r="M9"/>
  <c r="M10"/>
  <c r="J24"/>
  <c r="J28"/>
  <c r="J23"/>
  <c r="J20" s="1"/>
  <c r="K24"/>
  <c r="K23" s="1"/>
  <c r="K28"/>
  <c r="D24"/>
  <c r="Q24" s="1"/>
  <c r="D28"/>
  <c r="Q28"/>
  <c r="Q26"/>
  <c r="J30"/>
  <c r="J8" i="29"/>
  <c r="J7" s="1"/>
  <c r="F16" i="20"/>
  <c r="P10" i="102"/>
  <c r="I11"/>
  <c r="J11" i="96"/>
  <c r="K11" s="1"/>
  <c r="R14" i="95"/>
  <c r="E35" i="106"/>
  <c r="I15" i="20"/>
  <c r="S14" i="95"/>
  <c r="E32" i="106"/>
  <c r="E35" i="107"/>
  <c r="E24" i="108" l="1"/>
  <c r="F82" i="12"/>
  <c r="G14" i="107" s="1"/>
  <c r="G16" i="20"/>
  <c r="G20" i="104"/>
  <c r="H20" s="1"/>
  <c r="L134" i="72"/>
  <c r="L135" s="1"/>
  <c r="C16" i="27"/>
  <c r="T11" i="70"/>
  <c r="U11" s="1"/>
  <c r="V11"/>
  <c r="C47" i="13"/>
  <c r="H20" i="20"/>
  <c r="H19"/>
  <c r="H17" s="1"/>
  <c r="J15"/>
  <c r="J16" s="1"/>
  <c r="I16"/>
  <c r="K20" i="73"/>
  <c r="K30"/>
  <c r="V15" i="70"/>
  <c r="L15"/>
  <c r="W15" s="1"/>
  <c r="P15"/>
  <c r="P18" s="1"/>
  <c r="R10" i="101"/>
  <c r="I20" i="99" s="1"/>
  <c r="P10" i="101"/>
  <c r="F20" i="20"/>
  <c r="C9" i="13" s="1"/>
  <c r="F9" i="101"/>
  <c r="C10" i="99"/>
  <c r="L30" i="73"/>
  <c r="L20"/>
  <c r="M30"/>
  <c r="M20"/>
  <c r="P14" i="95"/>
  <c r="Q14" s="1"/>
  <c r="J15"/>
  <c r="H25" i="29"/>
  <c r="H18" i="73"/>
  <c r="R13" i="95"/>
  <c r="K13"/>
  <c r="Q11" i="101"/>
  <c r="F20" i="99" s="1"/>
  <c r="P11" i="101"/>
  <c r="D10" i="13"/>
  <c r="D65"/>
  <c r="D10" i="12"/>
  <c r="D28" i="13"/>
  <c r="D42" i="12"/>
  <c r="E65" i="13"/>
  <c r="C11" i="27"/>
  <c r="K135" i="72"/>
  <c r="H19" i="92"/>
  <c r="R14"/>
  <c r="J14"/>
  <c r="P14"/>
  <c r="Q14" s="1"/>
  <c r="L18" i="94"/>
  <c r="C44" i="29" s="1"/>
  <c r="F50" i="105"/>
  <c r="F46" i="106"/>
  <c r="E30" i="12"/>
  <c r="D9" i="18"/>
  <c r="O10" i="99"/>
  <c r="Q10" i="102"/>
  <c r="Q11" s="1"/>
  <c r="H39" i="29" s="1"/>
  <c r="H37" s="1"/>
  <c r="P11" i="102"/>
  <c r="R12" i="101"/>
  <c r="P12"/>
  <c r="Q12"/>
  <c r="P8"/>
  <c r="C23" i="99" s="1"/>
  <c r="E23" s="1"/>
  <c r="R8" i="101"/>
  <c r="I23" i="99" s="1"/>
  <c r="K23" s="1"/>
  <c r="J10" i="96"/>
  <c r="L10"/>
  <c r="I15" i="92"/>
  <c r="R15"/>
  <c r="R19" s="1"/>
  <c r="C13" i="29" s="1"/>
  <c r="Q8" i="101"/>
  <c r="F23" i="99" s="1"/>
  <c r="H23" s="1"/>
  <c r="D27" i="73"/>
  <c r="L12" i="25"/>
  <c r="C21" i="29"/>
  <c r="C20" s="1"/>
  <c r="K12" i="95"/>
  <c r="R12"/>
  <c r="P12"/>
  <c r="Q12" s="1"/>
  <c r="F48" i="106"/>
  <c r="H46"/>
  <c r="H45" s="1"/>
  <c r="F9" i="18"/>
  <c r="F11" s="1"/>
  <c r="H50" i="105"/>
  <c r="G30" i="12"/>
  <c r="D23" i="73"/>
  <c r="Q9"/>
  <c r="L12" i="99"/>
  <c r="F11"/>
  <c r="D17" i="73"/>
  <c r="E12" i="108"/>
  <c r="F20" i="73"/>
  <c r="H20"/>
  <c r="E47" i="12"/>
  <c r="F17" i="106" s="1"/>
  <c r="D81" i="12"/>
  <c r="F70" i="13"/>
  <c r="C70" s="1"/>
  <c r="C11" i="25"/>
  <c r="C13"/>
  <c r="G36" i="27"/>
  <c r="D12" i="70"/>
  <c r="H12" s="1"/>
  <c r="D14"/>
  <c r="H14" s="1"/>
  <c r="D17"/>
  <c r="H17" s="1"/>
  <c r="E10" i="95"/>
  <c r="I10" s="1"/>
  <c r="E12" i="96"/>
  <c r="I12" s="1"/>
  <c r="D15" i="94"/>
  <c r="H15" s="1"/>
  <c r="D14"/>
  <c r="H14" s="1"/>
  <c r="D12"/>
  <c r="E28" i="102"/>
  <c r="I28" s="1"/>
  <c r="J8" i="109"/>
  <c r="K9"/>
  <c r="E16" i="108"/>
  <c r="F55" i="13"/>
  <c r="F53" s="1"/>
  <c r="G81" i="12" s="1"/>
  <c r="H13" i="107" s="1"/>
  <c r="F3" i="12"/>
  <c r="F25" s="1"/>
  <c r="H49" i="106"/>
  <c r="H48" s="1"/>
  <c r="J9" i="109"/>
  <c r="E20" i="108"/>
  <c r="B5" i="103"/>
  <c r="E55" i="13"/>
  <c r="E53" s="1"/>
  <c r="F81" i="12" s="1"/>
  <c r="G13" i="107" s="1"/>
  <c r="F36" i="13"/>
  <c r="F28" s="1"/>
  <c r="G35" i="12"/>
  <c r="G47" s="1"/>
  <c r="H17" i="106" s="1"/>
  <c r="E20" i="73"/>
  <c r="G20"/>
  <c r="G48" i="12"/>
  <c r="H18" i="106" s="1"/>
  <c r="D53" i="13"/>
  <c r="E81" i="12" s="1"/>
  <c r="F13" i="107" s="1"/>
  <c r="D13" i="70"/>
  <c r="H13" s="1"/>
  <c r="D10"/>
  <c r="H10" s="1"/>
  <c r="D16"/>
  <c r="H16" s="1"/>
  <c r="E11" i="95"/>
  <c r="I11" s="1"/>
  <c r="D13" i="94"/>
  <c r="H13" s="1"/>
  <c r="D16"/>
  <c r="E36" i="13"/>
  <c r="E28" s="1"/>
  <c r="F17"/>
  <c r="F35" i="12"/>
  <c r="F47" s="1"/>
  <c r="G17" i="106" s="1"/>
  <c r="G69" i="12"/>
  <c r="G82" s="1"/>
  <c r="H14" i="107" s="1"/>
  <c r="E14" s="1"/>
  <c r="D27" i="18"/>
  <c r="E7" s="1"/>
  <c r="D28"/>
  <c r="E17" i="13"/>
  <c r="C65" l="1"/>
  <c r="H20" i="99"/>
  <c r="K14" i="94"/>
  <c r="L14" s="1"/>
  <c r="M14"/>
  <c r="H29" i="73"/>
  <c r="H27"/>
  <c r="I19" i="92"/>
  <c r="S15"/>
  <c r="E10" i="12"/>
  <c r="F13" i="105" s="1"/>
  <c r="G8" i="89"/>
  <c r="G20" i="20"/>
  <c r="C27" i="13" s="1"/>
  <c r="E33"/>
  <c r="T15" i="70"/>
  <c r="U15" s="1"/>
  <c r="E15" i="13"/>
  <c r="F15" i="12" s="1"/>
  <c r="G18" i="105" s="1"/>
  <c r="E11" i="13"/>
  <c r="F11" i="12" s="1"/>
  <c r="E16" i="13"/>
  <c r="F16" i="12" s="1"/>
  <c r="G19" i="105" s="1"/>
  <c r="L10" i="70"/>
  <c r="I10"/>
  <c r="V19"/>
  <c r="V10"/>
  <c r="J10"/>
  <c r="J18" s="1"/>
  <c r="K10"/>
  <c r="K18" s="1"/>
  <c r="T10"/>
  <c r="H18"/>
  <c r="N17"/>
  <c r="V17"/>
  <c r="T17"/>
  <c r="U17" s="1"/>
  <c r="F45" i="106"/>
  <c r="E10" i="99"/>
  <c r="C12"/>
  <c r="F64" i="13"/>
  <c r="F62" s="1"/>
  <c r="E47"/>
  <c r="F75" i="12" s="1"/>
  <c r="D75"/>
  <c r="D47" i="13"/>
  <c r="C45"/>
  <c r="F47"/>
  <c r="G75" i="12" s="1"/>
  <c r="C15" i="27"/>
  <c r="R10" i="95"/>
  <c r="I15"/>
  <c r="P10"/>
  <c r="L10"/>
  <c r="G50" i="105"/>
  <c r="E9" i="18"/>
  <c r="E11" s="1"/>
  <c r="F30" i="12"/>
  <c r="D30" s="1"/>
  <c r="G46" i="106"/>
  <c r="G45" s="1"/>
  <c r="E34" i="13"/>
  <c r="E26"/>
  <c r="F40" i="12" s="1"/>
  <c r="F48" i="13"/>
  <c r="G76" i="12" s="1"/>
  <c r="F46" i="13"/>
  <c r="F49"/>
  <c r="G77" i="12" s="1"/>
  <c r="H9" i="107" s="1"/>
  <c r="F54" i="13"/>
  <c r="R28" i="102"/>
  <c r="R29" s="1"/>
  <c r="I9" i="29" s="1"/>
  <c r="I8" s="1"/>
  <c r="I29" i="102"/>
  <c r="P28"/>
  <c r="J12" i="96"/>
  <c r="K12" s="1"/>
  <c r="L12"/>
  <c r="L13" s="1"/>
  <c r="G9" i="29" s="1"/>
  <c r="Q12" i="70"/>
  <c r="V12"/>
  <c r="H11" i="99"/>
  <c r="F12"/>
  <c r="S12" i="95"/>
  <c r="K15"/>
  <c r="C9" i="18"/>
  <c r="D11"/>
  <c r="P13" i="95"/>
  <c r="Q13" s="1"/>
  <c r="S13"/>
  <c r="D9" i="13"/>
  <c r="F9"/>
  <c r="G9" i="12" s="1"/>
  <c r="E9" i="13"/>
  <c r="F9" i="12" s="1"/>
  <c r="D64" i="13"/>
  <c r="D9" i="12"/>
  <c r="F48"/>
  <c r="G18" i="106" s="1"/>
  <c r="E18" s="1"/>
  <c r="E13" i="107"/>
  <c r="P15" i="92"/>
  <c r="Q15" s="1"/>
  <c r="Q19" s="1"/>
  <c r="C42" i="29" s="1"/>
  <c r="I13" i="96"/>
  <c r="E10" i="13"/>
  <c r="F10" i="12" s="1"/>
  <c r="K13" i="94"/>
  <c r="M13"/>
  <c r="M17" s="1"/>
  <c r="C17" i="29" s="1"/>
  <c r="H17" i="94"/>
  <c r="G29" i="73"/>
  <c r="G27"/>
  <c r="G18"/>
  <c r="E46" i="13"/>
  <c r="E49"/>
  <c r="F77" i="12" s="1"/>
  <c r="G9" i="107" s="1"/>
  <c r="E54" i="13"/>
  <c r="E48"/>
  <c r="F76" i="12" s="1"/>
  <c r="C12" i="25"/>
  <c r="K13"/>
  <c r="F29" i="73"/>
  <c r="F18"/>
  <c r="F27"/>
  <c r="F16" i="18"/>
  <c r="F18" s="1"/>
  <c r="F13"/>
  <c r="F15"/>
  <c r="O12" i="99"/>
  <c r="Q10"/>
  <c r="Q12" s="1"/>
  <c r="F42" i="12"/>
  <c r="G12" i="106" s="1"/>
  <c r="E42" i="12"/>
  <c r="F12" i="106" s="1"/>
  <c r="G42" i="12"/>
  <c r="H12" i="106" s="1"/>
  <c r="V16" i="70"/>
  <c r="L16"/>
  <c r="W16" s="1"/>
  <c r="O16"/>
  <c r="O18" s="1"/>
  <c r="F34" i="13"/>
  <c r="F33"/>
  <c r="F26"/>
  <c r="G40" i="12" s="1"/>
  <c r="G49" i="106"/>
  <c r="B6" i="103"/>
  <c r="F16" i="13"/>
  <c r="G16" i="12" s="1"/>
  <c r="H19" i="105" s="1"/>
  <c r="F15" i="13"/>
  <c r="G15" i="12" s="1"/>
  <c r="H18" i="105" s="1"/>
  <c r="F11" i="13"/>
  <c r="G11" i="12" s="1"/>
  <c r="M11" i="95"/>
  <c r="P11" s="1"/>
  <c r="Q11" s="1"/>
  <c r="R11"/>
  <c r="M13" i="70"/>
  <c r="T13" s="1"/>
  <c r="U13" s="1"/>
  <c r="V13"/>
  <c r="E29" i="73"/>
  <c r="E27"/>
  <c r="E18"/>
  <c r="B8" i="103"/>
  <c r="F7" s="1"/>
  <c r="J15" i="94"/>
  <c r="M15"/>
  <c r="K15"/>
  <c r="L15" s="1"/>
  <c r="L14" i="70"/>
  <c r="W14" s="1"/>
  <c r="V14"/>
  <c r="D20" i="73"/>
  <c r="Q23"/>
  <c r="D30"/>
  <c r="J13" i="96"/>
  <c r="K10"/>
  <c r="K13" s="1"/>
  <c r="G39" i="29" s="1"/>
  <c r="G37" s="1"/>
  <c r="S14" i="92"/>
  <c r="S19" s="1"/>
  <c r="C14" i="29" s="1"/>
  <c r="J19" i="92"/>
  <c r="C10" i="27"/>
  <c r="P9" i="101"/>
  <c r="C22" i="99" s="1"/>
  <c r="E22" s="1"/>
  <c r="R9" i="101"/>
  <c r="I22" i="99" s="1"/>
  <c r="K22" s="1"/>
  <c r="Q9" i="101"/>
  <c r="F22" i="99" s="1"/>
  <c r="H22" s="1"/>
  <c r="I24"/>
  <c r="K20"/>
  <c r="K24" s="1"/>
  <c r="L23"/>
  <c r="C20"/>
  <c r="E17" i="106"/>
  <c r="E50" i="105"/>
  <c r="F10" i="13"/>
  <c r="G10" i="12" s="1"/>
  <c r="E12" i="106" l="1"/>
  <c r="F5" i="103"/>
  <c r="C40" i="29"/>
  <c r="B10" i="14" s="1"/>
  <c r="G8" i="29"/>
  <c r="C50" i="13"/>
  <c r="C52"/>
  <c r="I25" i="29"/>
  <c r="H14" i="105"/>
  <c r="C10" i="25"/>
  <c r="C9" s="1"/>
  <c r="K12"/>
  <c r="F74" i="12"/>
  <c r="E45" i="13"/>
  <c r="H11" i="105"/>
  <c r="H14" i="109" s="1"/>
  <c r="D13" i="18"/>
  <c r="D15"/>
  <c r="D16"/>
  <c r="D18" s="1"/>
  <c r="C11"/>
  <c r="W12" i="70"/>
  <c r="W19" s="1"/>
  <c r="Q18"/>
  <c r="G74" i="12"/>
  <c r="F45" i="13"/>
  <c r="S10" i="95"/>
  <c r="L15"/>
  <c r="E45" i="106"/>
  <c r="F40" s="1"/>
  <c r="V18" i="70"/>
  <c r="E9" i="29" s="1"/>
  <c r="E19" i="105"/>
  <c r="C12" i="29"/>
  <c r="C24" i="99"/>
  <c r="E20"/>
  <c r="D25" i="73"/>
  <c r="Q20"/>
  <c r="D29"/>
  <c r="C16" i="29"/>
  <c r="Q10" i="95"/>
  <c r="Q15" s="1"/>
  <c r="F39" i="29" s="1"/>
  <c r="F37" s="1"/>
  <c r="P15" i="95"/>
  <c r="D45" i="13"/>
  <c r="E75" i="12"/>
  <c r="U10" i="70"/>
  <c r="U18" s="1"/>
  <c r="G14" i="105"/>
  <c r="E14" s="1"/>
  <c r="E64" i="13"/>
  <c r="D27"/>
  <c r="G7" i="89" s="1"/>
  <c r="E27" i="13"/>
  <c r="D41" i="12"/>
  <c r="F27" i="13"/>
  <c r="J17" i="94"/>
  <c r="N15"/>
  <c r="N17" s="1"/>
  <c r="C18" i="29" s="1"/>
  <c r="F6" i="103"/>
  <c r="E9" i="107"/>
  <c r="G13" i="105"/>
  <c r="E13" s="1"/>
  <c r="J8" i="89"/>
  <c r="G11" i="105"/>
  <c r="G14" i="109" s="1"/>
  <c r="Q28" i="102"/>
  <c r="Q29" s="1"/>
  <c r="I39" i="29" s="1"/>
  <c r="I37" s="1"/>
  <c r="P29" i="102"/>
  <c r="W17" i="70"/>
  <c r="N18"/>
  <c r="P19" i="92"/>
  <c r="L22" i="99"/>
  <c r="T14" i="70"/>
  <c r="U14" s="1"/>
  <c r="D18" i="73"/>
  <c r="T12" i="70"/>
  <c r="U12" s="1"/>
  <c r="R15" i="95"/>
  <c r="F9" i="29" s="1"/>
  <c r="E46" i="106"/>
  <c r="L18" i="70"/>
  <c r="F24" i="99"/>
  <c r="E9" i="12"/>
  <c r="F11" i="105" s="1"/>
  <c r="R11" i="99"/>
  <c r="H12"/>
  <c r="W13" i="70"/>
  <c r="M18"/>
  <c r="G48" i="106"/>
  <c r="E48" s="1"/>
  <c r="E49"/>
  <c r="H13" i="105"/>
  <c r="M8" i="89"/>
  <c r="C9" i="27"/>
  <c r="M15" i="95"/>
  <c r="S11"/>
  <c r="L13" i="94"/>
  <c r="L17" s="1"/>
  <c r="C45" i="29" s="1"/>
  <c r="K17" i="94"/>
  <c r="E16" i="18"/>
  <c r="E18" s="1"/>
  <c r="E15"/>
  <c r="E13"/>
  <c r="E19" s="1"/>
  <c r="E8" i="13" s="1"/>
  <c r="R10" i="99"/>
  <c r="E12"/>
  <c r="I18" i="70"/>
  <c r="W10"/>
  <c r="W18" s="1"/>
  <c r="E10" i="29" s="1"/>
  <c r="U19" i="70"/>
  <c r="E38" i="29" s="1"/>
  <c r="M23" i="99"/>
  <c r="C12" i="15" s="1"/>
  <c r="T16" i="70"/>
  <c r="U16" s="1"/>
  <c r="F19" i="18"/>
  <c r="F8" i="13" s="1"/>
  <c r="C64"/>
  <c r="E18" i="105"/>
  <c r="H24" i="99"/>
  <c r="M22" l="1"/>
  <c r="B12" i="14" s="1"/>
  <c r="D8" i="89"/>
  <c r="C43" i="29"/>
  <c r="C10" i="15" s="1"/>
  <c r="C27" i="29"/>
  <c r="C9" i="15"/>
  <c r="G25" i="29"/>
  <c r="L20" i="99"/>
  <c r="E24"/>
  <c r="D9" i="29"/>
  <c r="C9" s="1"/>
  <c r="E8"/>
  <c r="L9"/>
  <c r="F50" i="13"/>
  <c r="G78" i="12" s="1"/>
  <c r="H10" i="107" s="1"/>
  <c r="E50" i="13"/>
  <c r="F78" i="12" s="1"/>
  <c r="G10" i="107" s="1"/>
  <c r="F67" i="13"/>
  <c r="D78" i="12"/>
  <c r="D50" i="13"/>
  <c r="E78" i="12" s="1"/>
  <c r="F10" i="107" s="1"/>
  <c r="C15" i="18"/>
  <c r="R12" i="99"/>
  <c r="C18" i="18"/>
  <c r="F8" i="12"/>
  <c r="E7" i="13"/>
  <c r="G40" i="106"/>
  <c r="G8" i="12"/>
  <c r="F7" i="13"/>
  <c r="D19" i="73"/>
  <c r="E19" s="1"/>
  <c r="F19" s="1"/>
  <c r="G19" s="1"/>
  <c r="H19" s="1"/>
  <c r="I19" s="1"/>
  <c r="G41" i="12"/>
  <c r="F41"/>
  <c r="E41"/>
  <c r="C16" i="18"/>
  <c r="M18"/>
  <c r="M19" s="1"/>
  <c r="E52" i="13"/>
  <c r="F80" i="12" s="1"/>
  <c r="G12" i="107" s="1"/>
  <c r="F52" i="13"/>
  <c r="G80" i="12" s="1"/>
  <c r="H12" i="107" s="1"/>
  <c r="F69" i="13"/>
  <c r="F68" s="1"/>
  <c r="D80" i="12"/>
  <c r="C51" i="13"/>
  <c r="D52"/>
  <c r="E80" i="12" s="1"/>
  <c r="F12" i="107" s="1"/>
  <c r="E12" s="1"/>
  <c r="E39" i="29"/>
  <c r="D39" s="1"/>
  <c r="C39" s="1"/>
  <c r="C11" i="15"/>
  <c r="D38" i="29"/>
  <c r="E37"/>
  <c r="E11" i="105"/>
  <c r="E14" i="109" s="1"/>
  <c r="F14"/>
  <c r="C32" i="13"/>
  <c r="B9" i="14"/>
  <c r="C26" i="29"/>
  <c r="D19" i="18"/>
  <c r="C13"/>
  <c r="C12" s="1"/>
  <c r="T18" i="70"/>
  <c r="S15" i="95"/>
  <c r="F10" i="29" s="1"/>
  <c r="F8" s="1"/>
  <c r="C10" l="1"/>
  <c r="C30" i="13"/>
  <c r="F25" i="29"/>
  <c r="D8" i="13"/>
  <c r="C19" i="18"/>
  <c r="C8" i="13" s="1"/>
  <c r="C38" i="29"/>
  <c r="C37" s="1"/>
  <c r="C36" s="1"/>
  <c r="D37"/>
  <c r="H10" i="106"/>
  <c r="M7" i="89"/>
  <c r="C14" i="13"/>
  <c r="G10" i="106"/>
  <c r="J7" i="89"/>
  <c r="J19" i="73"/>
  <c r="I17"/>
  <c r="D10" i="29"/>
  <c r="C8"/>
  <c r="F28" s="1"/>
  <c r="H40" i="106"/>
  <c r="E10" i="107"/>
  <c r="B8" i="14"/>
  <c r="F51" i="13"/>
  <c r="G79" i="12" s="1"/>
  <c r="H11" i="107" s="1"/>
  <c r="D51" i="13"/>
  <c r="D79" i="12"/>
  <c r="D73" s="1"/>
  <c r="E51" i="13"/>
  <c r="C44"/>
  <c r="F10" i="106"/>
  <c r="G10" i="105"/>
  <c r="J6" i="89"/>
  <c r="E28" i="29"/>
  <c r="D8"/>
  <c r="E25"/>
  <c r="C12" i="13"/>
  <c r="L8" i="29"/>
  <c r="F44" i="13"/>
  <c r="F61"/>
  <c r="D46" i="12"/>
  <c r="E32" i="13"/>
  <c r="E69"/>
  <c r="E68" s="1"/>
  <c r="F32"/>
  <c r="D32"/>
  <c r="H10" i="105"/>
  <c r="M6" i="89"/>
  <c r="M20" i="99"/>
  <c r="L24"/>
  <c r="L10" i="29"/>
  <c r="C8" i="15"/>
  <c r="F4" i="20" l="1"/>
  <c r="D4" i="14"/>
  <c r="E4" i="15"/>
  <c r="E14" i="29"/>
  <c r="E15"/>
  <c r="L15" s="1"/>
  <c r="E4" i="25"/>
  <c r="E13" i="29"/>
  <c r="E4" i="28"/>
  <c r="E17" i="29"/>
  <c r="E18"/>
  <c r="F4" i="15"/>
  <c r="F4" i="28"/>
  <c r="G4" i="20"/>
  <c r="E4" i="14"/>
  <c r="F4" i="25"/>
  <c r="F13" i="29"/>
  <c r="F12" s="1"/>
  <c r="F14"/>
  <c r="F17"/>
  <c r="F18"/>
  <c r="D28"/>
  <c r="D25"/>
  <c r="G45" i="105"/>
  <c r="G13" i="109"/>
  <c r="G12" s="1"/>
  <c r="G21" s="1"/>
  <c r="G9" i="105"/>
  <c r="F79" i="12"/>
  <c r="E44" i="13"/>
  <c r="I18" i="73"/>
  <c r="Q18" s="1"/>
  <c r="Q17"/>
  <c r="G29" i="109"/>
  <c r="G28" s="1"/>
  <c r="D63" i="13"/>
  <c r="C7"/>
  <c r="D8" i="12"/>
  <c r="D44"/>
  <c r="E67" i="13"/>
  <c r="E30"/>
  <c r="F30"/>
  <c r="D30"/>
  <c r="G73" i="12"/>
  <c r="K19" i="73"/>
  <c r="J17"/>
  <c r="J18" s="1"/>
  <c r="H29" i="109"/>
  <c r="H28" s="1"/>
  <c r="G6" i="89"/>
  <c r="E8" i="12"/>
  <c r="D7" i="13"/>
  <c r="F46" i="12"/>
  <c r="G16" i="106" s="1"/>
  <c r="E46" i="12"/>
  <c r="F16" i="106" s="1"/>
  <c r="G46" i="12"/>
  <c r="H16" i="106" s="1"/>
  <c r="D7" i="89"/>
  <c r="H9" i="105"/>
  <c r="H13" i="109"/>
  <c r="H12" s="1"/>
  <c r="H21" s="1"/>
  <c r="H45" i="105"/>
  <c r="M24" i="99"/>
  <c r="C29" i="13"/>
  <c r="D12" i="12"/>
  <c r="F12" i="13"/>
  <c r="D12"/>
  <c r="E12"/>
  <c r="D67"/>
  <c r="C67" s="1"/>
  <c r="E10" i="106"/>
  <c r="F29" i="109"/>
  <c r="E79" i="12"/>
  <c r="D44" i="13"/>
  <c r="J28" i="29"/>
  <c r="C7"/>
  <c r="C25"/>
  <c r="H28"/>
  <c r="I28"/>
  <c r="G28"/>
  <c r="C28" s="1"/>
  <c r="D69" i="13"/>
  <c r="F14"/>
  <c r="G14" i="12" s="1"/>
  <c r="D14" i="13"/>
  <c r="E14" i="12" s="1"/>
  <c r="E14" i="13"/>
  <c r="F14" i="12" s="1"/>
  <c r="C13" i="13"/>
  <c r="D14" i="12"/>
  <c r="E13" i="13" l="1"/>
  <c r="D13" i="12"/>
  <c r="D13" i="13"/>
  <c r="F13"/>
  <c r="F11" i="107"/>
  <c r="E73" i="12"/>
  <c r="G35" i="109"/>
  <c r="G34"/>
  <c r="E12" i="29"/>
  <c r="G11" i="107"/>
  <c r="F73" i="12"/>
  <c r="E10" i="14"/>
  <c r="D52" i="12" s="1"/>
  <c r="E9" i="14"/>
  <c r="H22" i="29"/>
  <c r="H4" i="15"/>
  <c r="I4" i="20"/>
  <c r="H4" i="28"/>
  <c r="G4" i="14"/>
  <c r="H4" i="25"/>
  <c r="H19" s="1"/>
  <c r="H44" i="29"/>
  <c r="H43" s="1"/>
  <c r="H13"/>
  <c r="H17"/>
  <c r="H14"/>
  <c r="H42"/>
  <c r="H40" s="1"/>
  <c r="H36" s="1"/>
  <c r="H45"/>
  <c r="H18"/>
  <c r="F12" i="12"/>
  <c r="E6" i="13"/>
  <c r="I4" i="15"/>
  <c r="H4" i="14"/>
  <c r="I4" i="28"/>
  <c r="J4" i="20"/>
  <c r="I4" i="25"/>
  <c r="I19" s="1"/>
  <c r="I22" i="29"/>
  <c r="I23"/>
  <c r="I44"/>
  <c r="I43" s="1"/>
  <c r="I13"/>
  <c r="I12" s="1"/>
  <c r="I14"/>
  <c r="I42"/>
  <c r="I40" s="1"/>
  <c r="I17"/>
  <c r="I16" s="1"/>
  <c r="I18"/>
  <c r="I45"/>
  <c r="H20" i="109"/>
  <c r="H35"/>
  <c r="H48" s="1"/>
  <c r="H34"/>
  <c r="D62" i="13"/>
  <c r="C63"/>
  <c r="G20" i="109"/>
  <c r="G47" s="1"/>
  <c r="G54" s="1"/>
  <c r="G48"/>
  <c r="D23" i="29"/>
  <c r="D22"/>
  <c r="D44"/>
  <c r="D42"/>
  <c r="D45"/>
  <c r="F11" i="28"/>
  <c r="F12"/>
  <c r="E12"/>
  <c r="E11"/>
  <c r="D7" i="12"/>
  <c r="E16" i="106"/>
  <c r="D6" i="13"/>
  <c r="C69"/>
  <c r="D68"/>
  <c r="C68" s="1"/>
  <c r="G10" i="89"/>
  <c r="E12" i="12"/>
  <c r="F15" i="105" s="1"/>
  <c r="D6" i="89"/>
  <c r="L19" i="73"/>
  <c r="K17"/>
  <c r="K18" s="1"/>
  <c r="G13" i="12"/>
  <c r="H17" i="105"/>
  <c r="D29" i="13"/>
  <c r="G9" i="89" s="1"/>
  <c r="D43" i="12"/>
  <c r="E29" i="13"/>
  <c r="F29"/>
  <c r="E66"/>
  <c r="C25"/>
  <c r="F10" i="105"/>
  <c r="F44" i="12"/>
  <c r="G14" i="106" s="1"/>
  <c r="E44" i="12"/>
  <c r="F14" i="106" s="1"/>
  <c r="G44" i="12"/>
  <c r="H14" i="106" s="1"/>
  <c r="E13" i="12"/>
  <c r="E7" s="1"/>
  <c r="F17" i="105"/>
  <c r="G17"/>
  <c r="F13" i="12"/>
  <c r="G4" i="28"/>
  <c r="H4" i="20"/>
  <c r="E4" s="1"/>
  <c r="G4" i="15"/>
  <c r="D4" s="1"/>
  <c r="G4" i="25"/>
  <c r="D4" s="1"/>
  <c r="F4" i="14"/>
  <c r="G13" i="29"/>
  <c r="D13" s="1"/>
  <c r="G17"/>
  <c r="D17" s="1"/>
  <c r="G14"/>
  <c r="L14" s="1"/>
  <c r="G18"/>
  <c r="D18" s="1"/>
  <c r="J36"/>
  <c r="C24"/>
  <c r="E29" i="109"/>
  <c r="E28" s="1"/>
  <c r="F28"/>
  <c r="G12" i="12"/>
  <c r="F6" i="13"/>
  <c r="D10" i="14"/>
  <c r="D9"/>
  <c r="C6" i="13"/>
  <c r="H12" i="29" l="1"/>
  <c r="C4" i="25"/>
  <c r="D14" i="29"/>
  <c r="H47" i="109"/>
  <c r="H54" s="1"/>
  <c r="D22" i="25"/>
  <c r="E22" s="1"/>
  <c r="D19"/>
  <c r="D20"/>
  <c r="D21"/>
  <c r="E21" s="1"/>
  <c r="F21" s="1"/>
  <c r="G21" s="1"/>
  <c r="H21" s="1"/>
  <c r="H10" s="1"/>
  <c r="H9" s="1"/>
  <c r="D15" i="15"/>
  <c r="D23"/>
  <c r="D19"/>
  <c r="D16"/>
  <c r="C4"/>
  <c r="D22"/>
  <c r="D27"/>
  <c r="D26"/>
  <c r="D20"/>
  <c r="D25"/>
  <c r="D13"/>
  <c r="D18"/>
  <c r="D17"/>
  <c r="D14"/>
  <c r="D24"/>
  <c r="D21"/>
  <c r="D12"/>
  <c r="E22" i="20"/>
  <c r="E26"/>
  <c r="D4"/>
  <c r="F34" i="109"/>
  <c r="F35"/>
  <c r="F10" i="14"/>
  <c r="D85" i="12" s="1"/>
  <c r="F9" i="14"/>
  <c r="I27" i="29"/>
  <c r="I9" i="15"/>
  <c r="J26" i="20"/>
  <c r="J28" s="1"/>
  <c r="J22"/>
  <c r="C66" i="13"/>
  <c r="E62"/>
  <c r="E61" s="1"/>
  <c r="D43" i="29"/>
  <c r="I26"/>
  <c r="I7"/>
  <c r="Q19" i="25"/>
  <c r="I15" i="15"/>
  <c r="I13"/>
  <c r="I21"/>
  <c r="I23"/>
  <c r="I14"/>
  <c r="I20"/>
  <c r="I26"/>
  <c r="I19"/>
  <c r="I22"/>
  <c r="I24"/>
  <c r="I27"/>
  <c r="I25"/>
  <c r="I18"/>
  <c r="I16"/>
  <c r="I17"/>
  <c r="I12"/>
  <c r="H26" i="29"/>
  <c r="H11" i="28"/>
  <c r="H12"/>
  <c r="E17" i="105"/>
  <c r="L18" i="29"/>
  <c r="C9" i="14"/>
  <c r="D18" i="12"/>
  <c r="G12" i="28"/>
  <c r="G11"/>
  <c r="I22" i="20"/>
  <c r="I26"/>
  <c r="I28" s="1"/>
  <c r="E11" i="107"/>
  <c r="M10" i="89"/>
  <c r="H15" i="105"/>
  <c r="G7" i="12"/>
  <c r="F25" i="13"/>
  <c r="D25"/>
  <c r="E25"/>
  <c r="E43" i="12"/>
  <c r="G43"/>
  <c r="F43"/>
  <c r="D40" i="29"/>
  <c r="H14" i="14"/>
  <c r="H23"/>
  <c r="H18"/>
  <c r="H22"/>
  <c r="H15"/>
  <c r="H20"/>
  <c r="H16"/>
  <c r="H13"/>
  <c r="H19"/>
  <c r="H21"/>
  <c r="H17"/>
  <c r="H10"/>
  <c r="H12"/>
  <c r="H9"/>
  <c r="G14"/>
  <c r="G18"/>
  <c r="G21"/>
  <c r="G15"/>
  <c r="G22"/>
  <c r="G16"/>
  <c r="G19"/>
  <c r="G23"/>
  <c r="G20"/>
  <c r="G11" s="1"/>
  <c r="G13"/>
  <c r="G17"/>
  <c r="G12"/>
  <c r="G10"/>
  <c r="G9"/>
  <c r="G52" i="12"/>
  <c r="H22" i="106" s="1"/>
  <c r="F52" i="12"/>
  <c r="G22" i="106" s="1"/>
  <c r="E52" i="12"/>
  <c r="F22" i="106" s="1"/>
  <c r="E22" s="1"/>
  <c r="C62" i="13"/>
  <c r="C61" s="1"/>
  <c r="F72" s="1"/>
  <c r="L17" i="29"/>
  <c r="G12"/>
  <c r="C4" i="14"/>
  <c r="G16" i="29"/>
  <c r="E14" i="106"/>
  <c r="D4" i="28"/>
  <c r="I20" i="29"/>
  <c r="H16"/>
  <c r="L13"/>
  <c r="F16" i="105"/>
  <c r="D19" i="12"/>
  <c r="E34" i="109"/>
  <c r="E35"/>
  <c r="G16" i="105"/>
  <c r="F45"/>
  <c r="F9"/>
  <c r="F13" i="109"/>
  <c r="F12" s="1"/>
  <c r="F21" s="1"/>
  <c r="E10" i="105"/>
  <c r="H16"/>
  <c r="M19" i="73"/>
  <c r="L17"/>
  <c r="L18" s="1"/>
  <c r="H23" i="29"/>
  <c r="H20" s="1"/>
  <c r="I12" i="28"/>
  <c r="I11"/>
  <c r="G15" i="105"/>
  <c r="J10" i="89"/>
  <c r="F7" i="12"/>
  <c r="P19" i="25"/>
  <c r="H19" i="15"/>
  <c r="H15"/>
  <c r="H23"/>
  <c r="H16"/>
  <c r="H25"/>
  <c r="H26"/>
  <c r="H17"/>
  <c r="H22"/>
  <c r="H27"/>
  <c r="H18"/>
  <c r="H21"/>
  <c r="H20"/>
  <c r="H13"/>
  <c r="H14"/>
  <c r="H24"/>
  <c r="H12"/>
  <c r="D51" i="12"/>
  <c r="E15" i="105"/>
  <c r="D61" i="13"/>
  <c r="I36" i="29"/>
  <c r="C10" i="14" l="1"/>
  <c r="G8"/>
  <c r="D36" i="29"/>
  <c r="G9" i="15"/>
  <c r="F22" i="25"/>
  <c r="E11"/>
  <c r="H27" i="29"/>
  <c r="H9" i="15"/>
  <c r="G13" i="106"/>
  <c r="G9" s="1"/>
  <c r="J9" i="89"/>
  <c r="E18" i="12"/>
  <c r="F21" i="105" s="1"/>
  <c r="E21" s="1"/>
  <c r="F18" i="12"/>
  <c r="G21" i="105" s="1"/>
  <c r="G18" i="12"/>
  <c r="H21" i="105" s="1"/>
  <c r="I10" i="15"/>
  <c r="L19" i="25"/>
  <c r="D10"/>
  <c r="D9" s="1"/>
  <c r="H11" i="15"/>
  <c r="I11"/>
  <c r="E72" i="13"/>
  <c r="G4" i="29"/>
  <c r="G5" i="25"/>
  <c r="G6" s="1"/>
  <c r="G5" i="27"/>
  <c r="G33" i="29"/>
  <c r="G32"/>
  <c r="G42" s="1"/>
  <c r="G40" s="1"/>
  <c r="F5" i="14"/>
  <c r="H5" i="20"/>
  <c r="H6" s="1"/>
  <c r="G3" i="29"/>
  <c r="G5" i="28"/>
  <c r="G6" s="1"/>
  <c r="G5" i="15"/>
  <c r="G17" s="1"/>
  <c r="H13" i="106"/>
  <c r="H9" s="1"/>
  <c r="M9" i="89"/>
  <c r="I24" i="20"/>
  <c r="I11" s="1"/>
  <c r="I10"/>
  <c r="D84" i="12"/>
  <c r="G12" i="15"/>
  <c r="D11"/>
  <c r="G20"/>
  <c r="G15"/>
  <c r="E51" i="12"/>
  <c r="F21" i="106" s="1"/>
  <c r="F51" i="12"/>
  <c r="G21" i="106" s="1"/>
  <c r="G51" i="12"/>
  <c r="H21" i="106" s="1"/>
  <c r="N19" i="73"/>
  <c r="O19" s="1"/>
  <c r="P19" s="1"/>
  <c r="M17"/>
  <c r="M18" s="1"/>
  <c r="F48" i="109"/>
  <c r="F20"/>
  <c r="F47" s="1"/>
  <c r="F54" s="1"/>
  <c r="E19" i="12"/>
  <c r="F22" i="105" s="1"/>
  <c r="G19" i="12"/>
  <c r="H22" i="105" s="1"/>
  <c r="F19" i="12"/>
  <c r="G22" i="105" s="1"/>
  <c r="G7" i="29"/>
  <c r="G24" s="1"/>
  <c r="E24" i="20"/>
  <c r="E10"/>
  <c r="H22"/>
  <c r="G24" i="15"/>
  <c r="G13"/>
  <c r="G27"/>
  <c r="G19"/>
  <c r="D11" i="25"/>
  <c r="L20"/>
  <c r="E16" i="105"/>
  <c r="D72" i="13"/>
  <c r="H8" i="14"/>
  <c r="H11"/>
  <c r="D12" i="29"/>
  <c r="E9" i="105"/>
  <c r="E45"/>
  <c r="E13" i="109"/>
  <c r="E12" s="1"/>
  <c r="E21" s="1"/>
  <c r="C4" i="28"/>
  <c r="D12"/>
  <c r="D11"/>
  <c r="C13" i="14"/>
  <c r="C18"/>
  <c r="C22"/>
  <c r="C16"/>
  <c r="C20"/>
  <c r="C19"/>
  <c r="C14"/>
  <c r="C23"/>
  <c r="B4"/>
  <c r="C15"/>
  <c r="C21"/>
  <c r="C17"/>
  <c r="C12"/>
  <c r="F13" i="106"/>
  <c r="J10" i="20"/>
  <c r="J24"/>
  <c r="J11" s="1"/>
  <c r="E85" i="12"/>
  <c r="F17" i="107" s="1"/>
  <c r="F85" i="12"/>
  <c r="G17" i="107" s="1"/>
  <c r="G85" i="12"/>
  <c r="H17" i="107" s="1"/>
  <c r="H26" i="20"/>
  <c r="H28" s="1"/>
  <c r="E28"/>
  <c r="G21" i="15"/>
  <c r="G18"/>
  <c r="G26"/>
  <c r="G16"/>
  <c r="I21" i="25"/>
  <c r="D10" i="89"/>
  <c r="L12" i="29"/>
  <c r="H7"/>
  <c r="H24" s="1"/>
  <c r="I24"/>
  <c r="E17" i="107" l="1"/>
  <c r="E11" i="20"/>
  <c r="I8" i="15"/>
  <c r="E21" i="106"/>
  <c r="F18" i="14"/>
  <c r="H13" i="20"/>
  <c r="H10"/>
  <c r="H24"/>
  <c r="H11" s="1"/>
  <c r="H10" i="15"/>
  <c r="D10" s="1"/>
  <c r="H8"/>
  <c r="E84" i="12"/>
  <c r="F16" i="107" s="1"/>
  <c r="E16" s="1"/>
  <c r="G84" i="12"/>
  <c r="H16" i="107" s="1"/>
  <c r="F84" i="12"/>
  <c r="G16" i="107" s="1"/>
  <c r="G22" i="25"/>
  <c r="F11"/>
  <c r="F15" i="14"/>
  <c r="G22" i="29"/>
  <c r="G26" s="1"/>
  <c r="G23"/>
  <c r="G27" s="1"/>
  <c r="F3"/>
  <c r="F5" i="28"/>
  <c r="F6" s="1"/>
  <c r="F5" i="25"/>
  <c r="F32" i="29"/>
  <c r="F42" s="1"/>
  <c r="F40" s="1"/>
  <c r="F5" i="15"/>
  <c r="F4" i="29"/>
  <c r="F19" s="1"/>
  <c r="F16" s="1"/>
  <c r="G5" i="20"/>
  <c r="E5" i="14"/>
  <c r="E18" s="1"/>
  <c r="F5" i="27"/>
  <c r="F33" i="29"/>
  <c r="F14" i="14"/>
  <c r="E14"/>
  <c r="F17"/>
  <c r="F23"/>
  <c r="E16"/>
  <c r="F16"/>
  <c r="C72" i="13"/>
  <c r="D4" i="27" s="1"/>
  <c r="E32" i="29"/>
  <c r="E3"/>
  <c r="F5" i="20"/>
  <c r="D5" i="14"/>
  <c r="D15" s="1"/>
  <c r="E33" i="29"/>
  <c r="E5" i="27"/>
  <c r="C5" s="1"/>
  <c r="E5" i="15"/>
  <c r="E4" i="29"/>
  <c r="E5" i="25"/>
  <c r="E5" i="28"/>
  <c r="D9" i="89"/>
  <c r="G22" i="15"/>
  <c r="G25"/>
  <c r="E13" i="106"/>
  <c r="E9" s="1"/>
  <c r="F9"/>
  <c r="F19" i="14"/>
  <c r="D26" i="29"/>
  <c r="G44"/>
  <c r="G43" s="1"/>
  <c r="G36" s="1"/>
  <c r="G45"/>
  <c r="D88" i="12"/>
  <c r="D21" i="14"/>
  <c r="F21"/>
  <c r="F22"/>
  <c r="E22"/>
  <c r="J21" i="25"/>
  <c r="Q21" s="1"/>
  <c r="Q10" s="1"/>
  <c r="I10"/>
  <c r="I9" s="1"/>
  <c r="E12" i="14"/>
  <c r="F12"/>
  <c r="C11"/>
  <c r="C8" s="1"/>
  <c r="E20"/>
  <c r="F20"/>
  <c r="E13"/>
  <c r="F13"/>
  <c r="E20" i="109"/>
  <c r="E47" s="1"/>
  <c r="E54" s="1"/>
  <c r="E48"/>
  <c r="E22" i="105"/>
  <c r="G19" i="25"/>
  <c r="G23" i="15"/>
  <c r="G14"/>
  <c r="D19" i="14" l="1"/>
  <c r="G11" i="15"/>
  <c r="D90" i="12" s="1"/>
  <c r="E90" s="1"/>
  <c r="F22" i="107" s="1"/>
  <c r="F11" i="14"/>
  <c r="E19"/>
  <c r="D16"/>
  <c r="D18"/>
  <c r="D12"/>
  <c r="D13"/>
  <c r="D20"/>
  <c r="D22"/>
  <c r="E21"/>
  <c r="E23"/>
  <c r="E15"/>
  <c r="G90" i="12"/>
  <c r="H22" i="107" s="1"/>
  <c r="F22" i="29"/>
  <c r="F26" s="1"/>
  <c r="F23"/>
  <c r="C5" i="15"/>
  <c r="E15"/>
  <c r="E24"/>
  <c r="E21"/>
  <c r="E20"/>
  <c r="E13"/>
  <c r="E18"/>
  <c r="E14"/>
  <c r="E12"/>
  <c r="E19"/>
  <c r="E26"/>
  <c r="E16"/>
  <c r="E17"/>
  <c r="E25"/>
  <c r="E23"/>
  <c r="E27"/>
  <c r="E22"/>
  <c r="F6" i="20"/>
  <c r="D5"/>
  <c r="F22"/>
  <c r="F44" i="29"/>
  <c r="F45"/>
  <c r="F9" i="15"/>
  <c r="F27" i="29"/>
  <c r="F7"/>
  <c r="F24" s="1"/>
  <c r="E17" i="14"/>
  <c r="E6" i="28"/>
  <c r="C6" s="1"/>
  <c r="C5"/>
  <c r="C3" i="29"/>
  <c r="E22"/>
  <c r="E26" s="1"/>
  <c r="E23"/>
  <c r="F25" i="15"/>
  <c r="F12"/>
  <c r="F27"/>
  <c r="F18"/>
  <c r="F26"/>
  <c r="F23"/>
  <c r="F19"/>
  <c r="F21"/>
  <c r="F17"/>
  <c r="F20"/>
  <c r="F15"/>
  <c r="F24"/>
  <c r="F14"/>
  <c r="F16"/>
  <c r="F22"/>
  <c r="F13"/>
  <c r="K21" i="25"/>
  <c r="P21"/>
  <c r="P10" s="1"/>
  <c r="E19" i="29"/>
  <c r="C4"/>
  <c r="D12" i="27"/>
  <c r="D19"/>
  <c r="C4"/>
  <c r="D18"/>
  <c r="D13"/>
  <c r="D14"/>
  <c r="D17"/>
  <c r="D16"/>
  <c r="D11"/>
  <c r="G6" i="20"/>
  <c r="G26" s="1"/>
  <c r="G28" s="1"/>
  <c r="G22"/>
  <c r="F6" i="25"/>
  <c r="F19"/>
  <c r="F10" i="15"/>
  <c r="D56" i="12" s="1"/>
  <c r="G10" i="15"/>
  <c r="E10"/>
  <c r="D23" i="12" s="1"/>
  <c r="E11" i="14"/>
  <c r="B5"/>
  <c r="D23"/>
  <c r="D17"/>
  <c r="D14"/>
  <c r="O19" i="25"/>
  <c r="G10"/>
  <c r="G9" s="1"/>
  <c r="D86" i="12"/>
  <c r="F8" i="14"/>
  <c r="D83" i="12" s="1"/>
  <c r="G88"/>
  <c r="H20" i="107" s="1"/>
  <c r="E88" i="12"/>
  <c r="F20" i="107" s="1"/>
  <c r="F88" i="12"/>
  <c r="G20" i="107" s="1"/>
  <c r="E6" i="25"/>
  <c r="C5"/>
  <c r="E19"/>
  <c r="C33" i="29"/>
  <c r="E45"/>
  <c r="E44"/>
  <c r="E43" s="1"/>
  <c r="C32"/>
  <c r="E42"/>
  <c r="E40" s="1"/>
  <c r="E36" s="1"/>
  <c r="H22" i="25"/>
  <c r="G11"/>
  <c r="F43" i="29" l="1"/>
  <c r="F36" s="1"/>
  <c r="F90" i="12"/>
  <c r="G22" i="107" s="1"/>
  <c r="E20"/>
  <c r="D11" i="14"/>
  <c r="D8" s="1"/>
  <c r="D20" i="12" s="1"/>
  <c r="E20" s="1"/>
  <c r="F23" i="105" s="1"/>
  <c r="G20" i="12"/>
  <c r="H23" i="105" s="1"/>
  <c r="D17" i="12"/>
  <c r="F10" i="25"/>
  <c r="F9" s="1"/>
  <c r="N19"/>
  <c r="E11" i="27"/>
  <c r="D10"/>
  <c r="F11"/>
  <c r="F10" s="1"/>
  <c r="F9" s="1"/>
  <c r="G11"/>
  <c r="I11"/>
  <c r="F13"/>
  <c r="G13"/>
  <c r="I13"/>
  <c r="E13"/>
  <c r="I12"/>
  <c r="E12"/>
  <c r="J12" s="1"/>
  <c r="G12"/>
  <c r="F12"/>
  <c r="L21" i="25"/>
  <c r="K10"/>
  <c r="E11" i="15"/>
  <c r="D24" i="12" s="1"/>
  <c r="M19" i="25"/>
  <c r="E10"/>
  <c r="E9" s="1"/>
  <c r="G16" i="27"/>
  <c r="G15" s="1"/>
  <c r="F16"/>
  <c r="F15" s="1"/>
  <c r="D15"/>
  <c r="I15" s="1"/>
  <c r="E16"/>
  <c r="I16"/>
  <c r="H11" i="25"/>
  <c r="I22"/>
  <c r="G83" i="12"/>
  <c r="E83"/>
  <c r="F83"/>
  <c r="D72"/>
  <c r="D53"/>
  <c r="E8" i="14"/>
  <c r="D50" i="12" s="1"/>
  <c r="F56"/>
  <c r="G26" i="106" s="1"/>
  <c r="E56" i="12"/>
  <c r="F26" i="106" s="1"/>
  <c r="G56" i="12"/>
  <c r="H26" i="106" s="1"/>
  <c r="E14" i="27"/>
  <c r="J14" s="1"/>
  <c r="G14"/>
  <c r="F14"/>
  <c r="I14"/>
  <c r="F19"/>
  <c r="I19"/>
  <c r="G19"/>
  <c r="E19"/>
  <c r="D6" i="20"/>
  <c r="F26"/>
  <c r="F28" s="1"/>
  <c r="F11" i="15"/>
  <c r="D57" i="12" s="1"/>
  <c r="E22" i="107"/>
  <c r="F23" i="12"/>
  <c r="G26" i="105" s="1"/>
  <c r="E23" i="12"/>
  <c r="F26" i="105" s="1"/>
  <c r="G23" i="12"/>
  <c r="H26" i="105" s="1"/>
  <c r="F18" i="27"/>
  <c r="E18"/>
  <c r="G18"/>
  <c r="I18"/>
  <c r="F24" i="20"/>
  <c r="F13"/>
  <c r="F10"/>
  <c r="E86" i="12"/>
  <c r="F18" i="107" s="1"/>
  <c r="F86" i="12"/>
  <c r="G18" i="107" s="1"/>
  <c r="G86" i="12"/>
  <c r="H18" i="107" s="1"/>
  <c r="D89" i="12"/>
  <c r="G8" i="15"/>
  <c r="D87" i="12" s="1"/>
  <c r="G24" i="20"/>
  <c r="G11" s="1"/>
  <c r="G13"/>
  <c r="G10"/>
  <c r="G17" i="27"/>
  <c r="E17"/>
  <c r="F17"/>
  <c r="I17"/>
  <c r="L19" i="29"/>
  <c r="E16"/>
  <c r="D55" i="12"/>
  <c r="F20" l="1"/>
  <c r="G23" i="105" s="1"/>
  <c r="E23" s="1"/>
  <c r="E18" i="107"/>
  <c r="F11" i="20"/>
  <c r="J19" i="27"/>
  <c r="F15" i="107"/>
  <c r="E72" i="12"/>
  <c r="G24"/>
  <c r="H27" i="105" s="1"/>
  <c r="F24" i="12"/>
  <c r="G27" i="105" s="1"/>
  <c r="E24" i="12"/>
  <c r="F27" i="105" s="1"/>
  <c r="E27" s="1"/>
  <c r="G10" i="27"/>
  <c r="G9" s="1"/>
  <c r="E50" i="12"/>
  <c r="F20" i="106" s="1"/>
  <c r="G50" i="12"/>
  <c r="H20" i="106" s="1"/>
  <c r="F50" i="12"/>
  <c r="G20" i="106" s="1"/>
  <c r="E55" i="12"/>
  <c r="F25" i="106" s="1"/>
  <c r="F55" i="12"/>
  <c r="G25" i="106" s="1"/>
  <c r="G55" i="12"/>
  <c r="H25" i="106" s="1"/>
  <c r="G15" i="107"/>
  <c r="G8" s="1"/>
  <c r="G29" s="1"/>
  <c r="F72" i="12"/>
  <c r="I11" i="25"/>
  <c r="J22"/>
  <c r="E10" i="27"/>
  <c r="J11"/>
  <c r="J17"/>
  <c r="E13" i="20"/>
  <c r="J18" i="27"/>
  <c r="J13"/>
  <c r="F87" i="12"/>
  <c r="G19" i="107" s="1"/>
  <c r="G87" i="12"/>
  <c r="H19" i="107" s="1"/>
  <c r="E87" i="12"/>
  <c r="F19" i="107" s="1"/>
  <c r="E57" i="12"/>
  <c r="F27" i="106" s="1"/>
  <c r="F57" i="12"/>
  <c r="G27" i="106" s="1"/>
  <c r="G57" i="12"/>
  <c r="H27" i="106" s="1"/>
  <c r="F53" i="12"/>
  <c r="G23" i="106" s="1"/>
  <c r="E53" i="12"/>
  <c r="F23" i="106" s="1"/>
  <c r="G53" i="12"/>
  <c r="H23" i="106" s="1"/>
  <c r="H15" i="107"/>
  <c r="H8" s="1"/>
  <c r="H29" s="1"/>
  <c r="G72" i="12"/>
  <c r="D16" i="29"/>
  <c r="L16"/>
  <c r="E9" i="15"/>
  <c r="E27" i="29"/>
  <c r="E7"/>
  <c r="G89" i="12"/>
  <c r="H21" i="107" s="1"/>
  <c r="F89" i="12"/>
  <c r="G21" i="107" s="1"/>
  <c r="E89" i="12"/>
  <c r="F21" i="107" s="1"/>
  <c r="E15" i="27"/>
  <c r="J15" s="1"/>
  <c r="J16"/>
  <c r="M21" i="25"/>
  <c r="N21" s="1"/>
  <c r="O21" s="1"/>
  <c r="O10" s="1"/>
  <c r="L10"/>
  <c r="D9" i="27"/>
  <c r="I9" s="1"/>
  <c r="I10"/>
  <c r="H83" i="12"/>
  <c r="I83" s="1"/>
  <c r="F17"/>
  <c r="E17"/>
  <c r="G17"/>
  <c r="D6"/>
  <c r="F8" i="15"/>
  <c r="D54" i="12" s="1"/>
  <c r="E26" i="105"/>
  <c r="E26" i="106"/>
  <c r="D93" i="12"/>
  <c r="D95" s="1"/>
  <c r="D96" s="1"/>
  <c r="E21" i="107" l="1"/>
  <c r="G93" i="12"/>
  <c r="G95" s="1"/>
  <c r="G96" s="1"/>
  <c r="H19" i="108" s="1"/>
  <c r="E19" i="107"/>
  <c r="E27" i="106"/>
  <c r="J12" i="89"/>
  <c r="G20" i="105"/>
  <c r="G8" s="1"/>
  <c r="F6" i="12"/>
  <c r="G54"/>
  <c r="H24" i="106" s="1"/>
  <c r="E54" i="12"/>
  <c r="F24" i="106" s="1"/>
  <c r="E24" s="1"/>
  <c r="F54" i="12"/>
  <c r="G24" i="106" s="1"/>
  <c r="F20" i="105"/>
  <c r="G12" i="89"/>
  <c r="E6" i="12"/>
  <c r="L7" i="29"/>
  <c r="E24"/>
  <c r="D9" i="15"/>
  <c r="D8" s="1"/>
  <c r="D27" i="29"/>
  <c r="D7"/>
  <c r="D24" s="1"/>
  <c r="K22" i="25"/>
  <c r="P22"/>
  <c r="P11" s="1"/>
  <c r="P9" s="1"/>
  <c r="G41" i="109"/>
  <c r="G44" s="1"/>
  <c r="F10" i="104"/>
  <c r="G36" i="107"/>
  <c r="G32" s="1"/>
  <c r="G31" s="1"/>
  <c r="G38" s="1"/>
  <c r="G39" s="1"/>
  <c r="E93" i="12"/>
  <c r="E95" s="1"/>
  <c r="E96" s="1"/>
  <c r="F19" i="108" s="1"/>
  <c r="E15" i="107"/>
  <c r="E8" s="1"/>
  <c r="E29" s="1"/>
  <c r="F8"/>
  <c r="F29" s="1"/>
  <c r="H20" i="105"/>
  <c r="H8" s="1"/>
  <c r="M12" i="89"/>
  <c r="G6" i="12"/>
  <c r="J10" i="27"/>
  <c r="E9"/>
  <c r="J9" s="1"/>
  <c r="E23" i="106"/>
  <c r="F93" i="12"/>
  <c r="F95" s="1"/>
  <c r="F96" s="1"/>
  <c r="G19" i="108" s="1"/>
  <c r="E25" i="106"/>
  <c r="N10" i="25"/>
  <c r="E8" i="15"/>
  <c r="D22" i="12"/>
  <c r="H36" i="107"/>
  <c r="H32" s="1"/>
  <c r="H31" s="1"/>
  <c r="H38" s="1"/>
  <c r="H39" s="1"/>
  <c r="H10" i="104"/>
  <c r="H41" i="109"/>
  <c r="H44" s="1"/>
  <c r="M10" i="25"/>
  <c r="Q22"/>
  <c r="Q11" s="1"/>
  <c r="Q9" s="1"/>
  <c r="E20" i="106"/>
  <c r="H42" i="109" l="1"/>
  <c r="H45" s="1"/>
  <c r="H43" s="1"/>
  <c r="H37" i="107"/>
  <c r="H21" i="108"/>
  <c r="E19"/>
  <c r="D21" i="12"/>
  <c r="F22"/>
  <c r="G25" i="105" s="1"/>
  <c r="E22" i="12"/>
  <c r="F25" i="105" s="1"/>
  <c r="G22" i="12"/>
  <c r="H25" i="105" s="1"/>
  <c r="F41" i="109"/>
  <c r="D10" i="104"/>
  <c r="F36" i="107"/>
  <c r="L22" i="25"/>
  <c r="K11"/>
  <c r="K9" s="1"/>
  <c r="E20" i="105"/>
  <c r="E8" s="1"/>
  <c r="F8"/>
  <c r="G21" i="108"/>
  <c r="G40" s="1"/>
  <c r="G37" i="107"/>
  <c r="G42" i="109"/>
  <c r="G45" s="1"/>
  <c r="G43" s="1"/>
  <c r="D12" i="89"/>
  <c r="E25" i="105" l="1"/>
  <c r="B10" i="104"/>
  <c r="E10" s="1"/>
  <c r="E14" s="1"/>
  <c r="E36" i="107"/>
  <c r="F32"/>
  <c r="M22" i="25"/>
  <c r="L11"/>
  <c r="L9" s="1"/>
  <c r="F44" i="109"/>
  <c r="E41"/>
  <c r="E44" s="1"/>
  <c r="D26" i="12"/>
  <c r="D28" s="1"/>
  <c r="G21"/>
  <c r="H87"/>
  <c r="I87" s="1"/>
  <c r="E21"/>
  <c r="F21"/>
  <c r="H40" i="108"/>
  <c r="H18"/>
  <c r="G18"/>
  <c r="G24" i="105" l="1"/>
  <c r="G34" s="1"/>
  <c r="J13" i="89"/>
  <c r="F26" i="12"/>
  <c r="F28" s="1"/>
  <c r="F29" s="1"/>
  <c r="M11" i="25"/>
  <c r="M9" s="1"/>
  <c r="N22"/>
  <c r="G10" i="104"/>
  <c r="G14" s="1"/>
  <c r="I10"/>
  <c r="I14" s="1"/>
  <c r="D29" i="12"/>
  <c r="C8" i="103" s="1"/>
  <c r="G26" i="12"/>
  <c r="G28" s="1"/>
  <c r="G29" s="1"/>
  <c r="M13" i="89"/>
  <c r="H24" i="105"/>
  <c r="H34" s="1"/>
  <c r="E26" i="12"/>
  <c r="E28" s="1"/>
  <c r="E29" s="1"/>
  <c r="F24" i="105"/>
  <c r="G13" i="89"/>
  <c r="E32" i="107"/>
  <c r="E31" s="1"/>
  <c r="F31"/>
  <c r="D13" i="89" l="1"/>
  <c r="G41" i="105"/>
  <c r="G37" s="1"/>
  <c r="G36" s="1"/>
  <c r="G11" i="109"/>
  <c r="G16" s="1"/>
  <c r="G24" s="1"/>
  <c r="G51" i="105"/>
  <c r="F8" i="104"/>
  <c r="G43" i="105"/>
  <c r="G44" s="1"/>
  <c r="G46" s="1"/>
  <c r="E37" i="107"/>
  <c r="E38"/>
  <c r="E39" s="1"/>
  <c r="C6" i="103"/>
  <c r="D6" s="1"/>
  <c r="E35" i="13" s="1"/>
  <c r="F49" i="12" s="1"/>
  <c r="G19" i="106" s="1"/>
  <c r="G11" i="108"/>
  <c r="E24" i="105"/>
  <c r="F34"/>
  <c r="O22" i="25"/>
  <c r="O11" s="1"/>
  <c r="O9" s="1"/>
  <c r="N11"/>
  <c r="N9" s="1"/>
  <c r="H8" i="104"/>
  <c r="H11" i="109"/>
  <c r="H16" s="1"/>
  <c r="H24" s="1"/>
  <c r="H41" i="105"/>
  <c r="H37" s="1"/>
  <c r="H36" s="1"/>
  <c r="H51"/>
  <c r="F21" i="108"/>
  <c r="F42" i="109"/>
  <c r="F37" i="107"/>
  <c r="F38"/>
  <c r="F39" s="1"/>
  <c r="F11" i="108"/>
  <c r="C5" i="103"/>
  <c r="D5" s="1"/>
  <c r="C7"/>
  <c r="D7" s="1"/>
  <c r="F35" i="13" s="1"/>
  <c r="G49" i="12" s="1"/>
  <c r="H19" i="106" s="1"/>
  <c r="H11" i="108"/>
  <c r="D8" i="103" l="1"/>
  <c r="C35" i="13" s="1"/>
  <c r="D35"/>
  <c r="E49" i="12" s="1"/>
  <c r="F19" i="106" s="1"/>
  <c r="E19" s="1"/>
  <c r="E42" i="109"/>
  <c r="E45" s="1"/>
  <c r="E43" s="1"/>
  <c r="F45"/>
  <c r="F43" s="1"/>
  <c r="H17"/>
  <c r="H19" s="1"/>
  <c r="H25" s="1"/>
  <c r="H23" s="1"/>
  <c r="H13" i="108"/>
  <c r="H42" i="105"/>
  <c r="H10" i="108"/>
  <c r="E11"/>
  <c r="E21"/>
  <c r="E40" s="1"/>
  <c r="F40"/>
  <c r="F18"/>
  <c r="E18" s="1"/>
  <c r="F51" i="105"/>
  <c r="D8" i="104"/>
  <c r="F41" i="105"/>
  <c r="F11" i="109"/>
  <c r="F16" s="1"/>
  <c r="F24" s="1"/>
  <c r="E34" i="105"/>
  <c r="G42"/>
  <c r="G17" i="109"/>
  <c r="G19" s="1"/>
  <c r="G25" s="1"/>
  <c r="G13" i="108"/>
  <c r="H43" i="105"/>
  <c r="H44" s="1"/>
  <c r="H46" s="1"/>
  <c r="E51" l="1"/>
  <c r="E11" i="109"/>
  <c r="E16" s="1"/>
  <c r="E24" s="1"/>
  <c r="E8" i="104"/>
  <c r="E12" s="1"/>
  <c r="B8"/>
  <c r="H38" i="108"/>
  <c r="G38"/>
  <c r="G10"/>
  <c r="D49" i="12"/>
  <c r="C31" i="13"/>
  <c r="F37" i="105"/>
  <c r="E41"/>
  <c r="G23" i="109"/>
  <c r="E37" i="105" l="1"/>
  <c r="F36"/>
  <c r="I8" i="104"/>
  <c r="I12" s="1"/>
  <c r="G8"/>
  <c r="G12" s="1"/>
  <c r="E31" i="13"/>
  <c r="E24" s="1"/>
  <c r="D31"/>
  <c r="D24" s="1"/>
  <c r="F31"/>
  <c r="F24" s="1"/>
  <c r="D45" i="12"/>
  <c r="C24" i="13"/>
  <c r="F45" i="12" l="1"/>
  <c r="E45"/>
  <c r="G45"/>
  <c r="D39"/>
  <c r="F17" i="109"/>
  <c r="F42" i="105"/>
  <c r="E36"/>
  <c r="E42" s="1"/>
  <c r="F13" i="108"/>
  <c r="F43" i="105"/>
  <c r="F15" i="106" l="1"/>
  <c r="G11" i="89"/>
  <c r="E39" i="12"/>
  <c r="E38" s="1"/>
  <c r="E60" s="1"/>
  <c r="E62" s="1"/>
  <c r="E63" s="1"/>
  <c r="F15" i="108" s="1"/>
  <c r="E43" i="105"/>
  <c r="E44" s="1"/>
  <c r="E46" s="1"/>
  <c r="F44"/>
  <c r="F46" s="1"/>
  <c r="G15" i="106"/>
  <c r="G8" s="1"/>
  <c r="G34" s="1"/>
  <c r="J11" i="89"/>
  <c r="F39" i="12"/>
  <c r="F38" s="1"/>
  <c r="F60" s="1"/>
  <c r="F62" s="1"/>
  <c r="F63" s="1"/>
  <c r="G15" i="108" s="1"/>
  <c r="H15" i="106"/>
  <c r="H8" s="1"/>
  <c r="H34" s="1"/>
  <c r="M11" i="89"/>
  <c r="G39" i="12"/>
  <c r="G38" s="1"/>
  <c r="G60" s="1"/>
  <c r="G62" s="1"/>
  <c r="G63" s="1"/>
  <c r="H15" i="108" s="1"/>
  <c r="E17" i="109"/>
  <c r="F19"/>
  <c r="F38" i="108"/>
  <c r="E13"/>
  <c r="E38" s="1"/>
  <c r="F10"/>
  <c r="E10" s="1"/>
  <c r="D38" i="12"/>
  <c r="D60" s="1"/>
  <c r="D62" s="1"/>
  <c r="H73"/>
  <c r="I73" s="1"/>
  <c r="E19" i="109" l="1"/>
  <c r="E25" s="1"/>
  <c r="F25"/>
  <c r="D63" i="12"/>
  <c r="Q18" i="89"/>
  <c r="K7" i="104"/>
  <c r="M5" i="89"/>
  <c r="G27" i="109"/>
  <c r="G30" s="1"/>
  <c r="G38" s="1"/>
  <c r="F9" i="104"/>
  <c r="G43" i="106"/>
  <c r="G44" s="1"/>
  <c r="G41"/>
  <c r="G37" s="1"/>
  <c r="G36" s="1"/>
  <c r="D11" i="89"/>
  <c r="G5"/>
  <c r="H41" i="106"/>
  <c r="H37" s="1"/>
  <c r="H36" s="1"/>
  <c r="H27" i="109"/>
  <c r="H30" s="1"/>
  <c r="H38" s="1"/>
  <c r="H9" i="104"/>
  <c r="H43" i="106"/>
  <c r="H44" s="1"/>
  <c r="E15"/>
  <c r="E8" s="1"/>
  <c r="F8"/>
  <c r="F34" s="1"/>
  <c r="H23" i="108"/>
  <c r="J5" i="89"/>
  <c r="E15" i="108"/>
  <c r="F23"/>
  <c r="G23"/>
  <c r="H27" l="1"/>
  <c r="H31" s="1"/>
  <c r="D5" i="89"/>
  <c r="G4"/>
  <c r="G16" s="1"/>
  <c r="G18" s="1"/>
  <c r="F23" i="109"/>
  <c r="G27" i="108"/>
  <c r="G31" s="1"/>
  <c r="H7" i="104"/>
  <c r="F7"/>
  <c r="E23" i="109"/>
  <c r="F27" i="108"/>
  <c r="E23"/>
  <c r="H33" i="109"/>
  <c r="H42" i="106"/>
  <c r="H17" i="108"/>
  <c r="G17"/>
  <c r="G33" i="109"/>
  <c r="G42" i="106"/>
  <c r="M4" i="89"/>
  <c r="M16" s="1"/>
  <c r="M18" s="1"/>
  <c r="J4"/>
  <c r="J16" s="1"/>
  <c r="J18" s="1"/>
  <c r="F27" i="109"/>
  <c r="D9" i="104"/>
  <c r="E34" i="106"/>
  <c r="F41"/>
  <c r="H51" i="109"/>
  <c r="G51"/>
  <c r="F30" l="1"/>
  <c r="F38" s="1"/>
  <c r="E27"/>
  <c r="E30" s="1"/>
  <c r="E38" s="1"/>
  <c r="F31" i="108"/>
  <c r="E27"/>
  <c r="E31" s="1"/>
  <c r="J20" i="89"/>
  <c r="K8"/>
  <c r="K6"/>
  <c r="K7"/>
  <c r="K10"/>
  <c r="K9"/>
  <c r="K12"/>
  <c r="K13"/>
  <c r="K11"/>
  <c r="G20"/>
  <c r="H8"/>
  <c r="H7"/>
  <c r="H6"/>
  <c r="H9"/>
  <c r="H10"/>
  <c r="H12"/>
  <c r="H13"/>
  <c r="H11"/>
  <c r="M20"/>
  <c r="N8"/>
  <c r="N7"/>
  <c r="N6"/>
  <c r="N10"/>
  <c r="N9"/>
  <c r="N12"/>
  <c r="N13"/>
  <c r="N11"/>
  <c r="B9" i="104"/>
  <c r="E9" s="1"/>
  <c r="E13" s="1"/>
  <c r="D7"/>
  <c r="B7" s="1"/>
  <c r="G39" i="108"/>
  <c r="G25"/>
  <c r="G14"/>
  <c r="D4" i="89"/>
  <c r="D16" s="1"/>
  <c r="D18" s="1"/>
  <c r="E5" s="1"/>
  <c r="N5"/>
  <c r="E41" i="106"/>
  <c r="F37"/>
  <c r="H39" i="108"/>
  <c r="H25"/>
  <c r="H14"/>
  <c r="G31" i="109"/>
  <c r="G39"/>
  <c r="H39"/>
  <c r="H31"/>
  <c r="K5" i="89"/>
  <c r="H5"/>
  <c r="I9" l="1"/>
  <c r="I5"/>
  <c r="I11"/>
  <c r="I10"/>
  <c r="I12"/>
  <c r="I13"/>
  <c r="I7"/>
  <c r="I8"/>
  <c r="I6"/>
  <c r="I20" s="1"/>
  <c r="E51" i="109"/>
  <c r="N18" i="89"/>
  <c r="H52" i="109"/>
  <c r="H37"/>
  <c r="H50" s="1"/>
  <c r="H55" s="1"/>
  <c r="F51"/>
  <c r="E37" i="106"/>
  <c r="F36"/>
  <c r="D20" i="89"/>
  <c r="E8"/>
  <c r="E7"/>
  <c r="E6"/>
  <c r="E10"/>
  <c r="E9"/>
  <c r="E12"/>
  <c r="E13"/>
  <c r="E11"/>
  <c r="O11"/>
  <c r="O7"/>
  <c r="O12"/>
  <c r="O9"/>
  <c r="O5"/>
  <c r="O8"/>
  <c r="O13"/>
  <c r="O6"/>
  <c r="O10"/>
  <c r="K18"/>
  <c r="H29" i="108"/>
  <c r="H33" s="1"/>
  <c r="H41"/>
  <c r="H22"/>
  <c r="H26" s="1"/>
  <c r="H30" s="1"/>
  <c r="L13" i="89"/>
  <c r="L7"/>
  <c r="L11"/>
  <c r="L10"/>
  <c r="L8"/>
  <c r="L12"/>
  <c r="L5"/>
  <c r="L9"/>
  <c r="L6"/>
  <c r="C10" i="104"/>
  <c r="C8"/>
  <c r="L7"/>
  <c r="G52" i="109"/>
  <c r="G37"/>
  <c r="G50" s="1"/>
  <c r="G55" s="1"/>
  <c r="G29" i="108"/>
  <c r="G33" s="1"/>
  <c r="G41"/>
  <c r="G22"/>
  <c r="G26" s="1"/>
  <c r="G30" s="1"/>
  <c r="C9" i="104"/>
  <c r="G9"/>
  <c r="G13" s="1"/>
  <c r="I9"/>
  <c r="I13" s="1"/>
  <c r="H18" i="89"/>
  <c r="L20" l="1"/>
  <c r="F42" i="106"/>
  <c r="E36"/>
  <c r="E42" s="1"/>
  <c r="F17" i="108"/>
  <c r="F33" i="109"/>
  <c r="F43" i="106"/>
  <c r="E18" i="89"/>
  <c r="C13" i="104"/>
  <c r="B13"/>
  <c r="D13" s="1"/>
  <c r="C14"/>
  <c r="B14"/>
  <c r="C7"/>
  <c r="B12"/>
  <c r="C12"/>
  <c r="F8" i="89"/>
  <c r="F5"/>
  <c r="F12"/>
  <c r="F10"/>
  <c r="F7"/>
  <c r="F13"/>
  <c r="F9"/>
  <c r="F6"/>
  <c r="F11"/>
  <c r="O20"/>
  <c r="H13" i="104" l="1"/>
  <c r="F20" i="89"/>
  <c r="F13" i="104"/>
  <c r="E43" i="106"/>
  <c r="E44" s="1"/>
  <c r="F44"/>
  <c r="D14" i="104"/>
  <c r="H14"/>
  <c r="F14"/>
  <c r="E17" i="108"/>
  <c r="E39" s="1"/>
  <c r="F39"/>
  <c r="F25"/>
  <c r="F14"/>
  <c r="E14" s="1"/>
  <c r="D12" i="104"/>
  <c r="F12"/>
  <c r="H12"/>
  <c r="F39" i="109"/>
  <c r="F31"/>
  <c r="E33"/>
  <c r="F52" l="1"/>
  <c r="F37"/>
  <c r="F50" s="1"/>
  <c r="F55" s="1"/>
  <c r="E39"/>
  <c r="E31"/>
  <c r="F29" i="108"/>
  <c r="F41"/>
  <c r="E25"/>
  <c r="E41" s="1"/>
  <c r="F22"/>
  <c r="F33" l="1"/>
  <c r="E29"/>
  <c r="E33" s="1"/>
  <c r="E52" i="109"/>
  <c r="E37"/>
  <c r="E50" s="1"/>
  <c r="E55" s="1"/>
  <c r="F26" i="108"/>
  <c r="E22"/>
  <c r="E26" l="1"/>
  <c r="E30" s="1"/>
  <c r="F30"/>
</calcChain>
</file>

<file path=xl/sharedStrings.xml><?xml version="1.0" encoding="utf-8"?>
<sst xmlns="http://schemas.openxmlformats.org/spreadsheetml/2006/main" count="2386" uniqueCount="1032">
  <si>
    <t xml:space="preserve">амортизація  основних засобів, інших  необоротних матеріальних і нематеріальних активів </t>
  </si>
  <si>
    <t>Послуга з абонентського обслуговування</t>
  </si>
  <si>
    <t>Встановлення, обслуговування та заміна вузлів комерційного обліку</t>
  </si>
  <si>
    <t>Інші витрати всього, у т.ч.:</t>
  </si>
  <si>
    <t>амортизація  основних засобів, інших необоротних матеріальних і нематеріальних активів загальновиробничого призначення</t>
  </si>
  <si>
    <t>Категорії споживачів</t>
  </si>
  <si>
    <t>Втрати теплової енергії у мережах, Гкал</t>
  </si>
  <si>
    <t>Повна собівартість виробництва 1 Гкал теплової енергії, грн.</t>
  </si>
  <si>
    <t>Витрати на покриття втрат, тис.грн</t>
  </si>
  <si>
    <t>РАЗОМ</t>
  </si>
  <si>
    <t xml:space="preserve">Розрахунок прямих витрат всього по підприємству  (за виключенням витрат на покриття втрат теплової енергії в мережах) по КП "Звенигородське підприємство теплових мереж" Звенигородської міської ради  
</t>
  </si>
  <si>
    <t>Розрахунок витрат на забезпечення охорони праці і дотримання техніки безпеки по                                               КП "Звенигородське підприємство теплових мереж" Звенигородської міської ради</t>
  </si>
  <si>
    <t>Плановий розрахунок витрат на охорону праці та виробничу санітарію по                                                                    КП "Звенигородське підприємство теплових мереж" Звенигородської міської ради</t>
  </si>
  <si>
    <t xml:space="preserve">Вхідні дані  для розрахунку тарифів по КП "Звенигородське підприємство теплових мереж" Звенигородської міської ради </t>
  </si>
  <si>
    <t xml:space="preserve">Показники без урахування витрат на відшкодування втрат </t>
  </si>
  <si>
    <t>Всього витрат</t>
  </si>
  <si>
    <t>сума, тис.грн</t>
  </si>
  <si>
    <t>питома вага, %</t>
  </si>
  <si>
    <t>Разом витрат на теплову енергію</t>
  </si>
  <si>
    <t>Повна собіварість виробництва теплової енергії</t>
  </si>
  <si>
    <t>Повна собіварість транспортування теплової енергії</t>
  </si>
  <si>
    <t>Повна собіварість постачання теплової енергії</t>
  </si>
  <si>
    <t>Інвестиційна складова прибутку (на розвиток виробництва), в т.ч.:</t>
  </si>
  <si>
    <t>у виробництві ТЕ</t>
  </si>
  <si>
    <t>у траспортуванні ТЕ</t>
  </si>
  <si>
    <t>у постачанні ТЕ</t>
  </si>
  <si>
    <t>к-т</t>
  </si>
  <si>
    <t xml:space="preserve">Розрахунок розподілу прибутку на розвиток виробництва КП "Звенигородське підприємство теплових мереж" Звенигородської міської ради </t>
  </si>
  <si>
    <t xml:space="preserve">Розрахунок витрат на покриття втрат теплової енергії в теплових мережах КП "Звенигородське підприємство теплових мереж" Звенигородської міської ради </t>
  </si>
  <si>
    <t>Розрахунок тарифів на виробництво теплової енергії</t>
  </si>
  <si>
    <t>N з/п</t>
  </si>
  <si>
    <t>Од. виміру </t>
  </si>
  <si>
    <t>11 </t>
  </si>
  <si>
    <t>Виробнича собівартість, у т. ч.:</t>
  </si>
  <si>
    <t>1.1</t>
  </si>
  <si>
    <t>прямі матеріальні витрати, у т. ч.:</t>
  </si>
  <si>
    <t>1.1.1</t>
  </si>
  <si>
    <t>1.1.2</t>
  </si>
  <si>
    <t>1.1.3</t>
  </si>
  <si>
    <t xml:space="preserve">покупна теплова енергія </t>
  </si>
  <si>
    <t>1.1.4</t>
  </si>
  <si>
    <t>1.1.5</t>
  </si>
  <si>
    <t>1.2</t>
  </si>
  <si>
    <t>прямі витрати на оплату праці</t>
  </si>
  <si>
    <t>1.3</t>
  </si>
  <si>
    <t>інші прямі витрати, у т. ч.:</t>
  </si>
  <si>
    <t>1.3.1</t>
  </si>
  <si>
    <t>1.3.2</t>
  </si>
  <si>
    <t>1.3.3</t>
  </si>
  <si>
    <t xml:space="preserve">інші прямі витрати </t>
  </si>
  <si>
    <t>1.4</t>
  </si>
  <si>
    <t>Загальновиробничі витрати, у т. ч.:</t>
  </si>
  <si>
    <t>1.4.1</t>
  </si>
  <si>
    <t>витрати на оплату праці</t>
  </si>
  <si>
    <t>1.4.2</t>
  </si>
  <si>
    <t>1.4.3</t>
  </si>
  <si>
    <t>інші витрати</t>
  </si>
  <si>
    <t>Адміністративні витрати, у т. ч.:</t>
  </si>
  <si>
    <t>2.1</t>
  </si>
  <si>
    <t>2.2</t>
  </si>
  <si>
    <t>2.3</t>
  </si>
  <si>
    <t>Витрати на збут, у т. ч.:</t>
  </si>
  <si>
    <t>3.1</t>
  </si>
  <si>
    <t>3.2</t>
  </si>
  <si>
    <t>3.3</t>
  </si>
  <si>
    <t>7</t>
  </si>
  <si>
    <t>Витрати на відшкодування  втрат</t>
  </si>
  <si>
    <t>8</t>
  </si>
  <si>
    <t>8.1</t>
  </si>
  <si>
    <t>податок на прибуток</t>
  </si>
  <si>
    <t>8.2</t>
  </si>
  <si>
    <t>дивіденди</t>
  </si>
  <si>
    <t>8.3</t>
  </si>
  <si>
    <t>резервний фонд (капітал)</t>
  </si>
  <si>
    <t>8.4</t>
  </si>
  <si>
    <t>на розвиток виробництва</t>
  </si>
  <si>
    <t>8.5</t>
  </si>
  <si>
    <t>інше використ. прибутку</t>
  </si>
  <si>
    <t>8.6</t>
  </si>
  <si>
    <t>рентабельність</t>
  </si>
  <si>
    <t>Тарифи на виробництво теплової енергії, зокрема</t>
  </si>
  <si>
    <t>грн./Гкал </t>
  </si>
  <si>
    <t>10.1</t>
  </si>
  <si>
    <t>паливна  складова</t>
  </si>
  <si>
    <t>10.2</t>
  </si>
  <si>
    <t>решта витрат,крім палива</t>
  </si>
  <si>
    <t>Реалізація ТЕ власним споживачам</t>
  </si>
  <si>
    <t>Обсяг  покупної ТЕ</t>
  </si>
  <si>
    <t>Ціна покупної ТЕ</t>
  </si>
  <si>
    <t>Відпуск ТЕї з колекторів власних котелень</t>
  </si>
  <si>
    <t>Собівартість виробництва  ТЕ власними котельнями</t>
  </si>
  <si>
    <t xml:space="preserve">Розрахунок тарифів на транспортування теплової енергії </t>
  </si>
  <si>
    <t>Показники </t>
  </si>
  <si>
    <t>Один. виміру </t>
  </si>
  <si>
    <t>у тому  числі:</t>
  </si>
  <si>
    <t>Виробнича собівартість, зокрема: </t>
  </si>
  <si>
    <t>Прямі матеріальні витрати, зокрема: </t>
  </si>
  <si>
    <t>1.1.1 </t>
  </si>
  <si>
    <t>електроенергія </t>
  </si>
  <si>
    <t>1.1.2 </t>
  </si>
  <si>
    <t>транспортування ТЕ тепловими мережами інших підприємств </t>
  </si>
  <si>
    <t>1.1.3 </t>
  </si>
  <si>
    <t>вода для технологічних потреб та водовідведення </t>
  </si>
  <si>
    <t>1.1.4 </t>
  </si>
  <si>
    <t>матеріали, запасні частини та інші матеріальні ресурси </t>
  </si>
  <si>
    <t>Прямі витрати на оплату праці </t>
  </si>
  <si>
    <t>1.3 </t>
  </si>
  <si>
    <t>Інші прямі витрати, у тому числі: </t>
  </si>
  <si>
    <t>1.3.1  </t>
  </si>
  <si>
    <t>1.3.2 </t>
  </si>
  <si>
    <t>амортизаційні відрахування  </t>
  </si>
  <si>
    <t>1.3.3 </t>
  </si>
  <si>
    <t>інші прямі витрати </t>
  </si>
  <si>
    <t>1.4 </t>
  </si>
  <si>
    <t>1.4.1 </t>
  </si>
  <si>
    <t>1.4.2 </t>
  </si>
  <si>
    <t>1.4.3 </t>
  </si>
  <si>
    <t>Адміністративні витрати, зокрема: </t>
  </si>
  <si>
    <t>2.3 </t>
  </si>
  <si>
    <t>Витрати на збут, зокрема: </t>
  </si>
  <si>
    <t>3.3 </t>
  </si>
  <si>
    <t>Фінансові витрати </t>
  </si>
  <si>
    <t>Витрати на відшкодування втрат</t>
  </si>
  <si>
    <t>тис. грн  </t>
  </si>
  <si>
    <t>Вартість транспортування ТЕ за відповідними тарифами </t>
  </si>
  <si>
    <t>Середньозважений тариф на транспортування теплової енергії </t>
  </si>
  <si>
    <t>Обсяг надходження теплоенергії до мережі ліцензіата, зокрема: </t>
  </si>
  <si>
    <t>12.1 </t>
  </si>
  <si>
    <t>власної теплової енергії </t>
  </si>
  <si>
    <t>12.2 </t>
  </si>
  <si>
    <t>теплоенергії інших власників для транспортування мережами ліцензіата </t>
  </si>
  <si>
    <t>Втрати теплової енергії в мережах ліцензіата, всього, зокрема: </t>
  </si>
  <si>
    <t>13.1 </t>
  </si>
  <si>
    <t>13.2 </t>
  </si>
  <si>
    <t>теплової енергії інших власників </t>
  </si>
  <si>
    <t>14.1 </t>
  </si>
  <si>
    <t>14.2 </t>
  </si>
  <si>
    <t>корисний відпуск теплової енергії інших власників </t>
  </si>
  <si>
    <t>Розрахунок тарифів на постачання теплової енергії</t>
  </si>
  <si>
    <t>бюджнтні установи</t>
  </si>
  <si>
    <t>прямі матеріальні витрати </t>
  </si>
  <si>
    <t>прямі витрати на оплату праці </t>
  </si>
  <si>
    <t>інші прямі витрати, зокрема: </t>
  </si>
  <si>
    <t>1.3.1 </t>
  </si>
  <si>
    <t>амортизаційні відрахування </t>
  </si>
  <si>
    <t>Загальновиробничі витрати, зокрема: </t>
  </si>
  <si>
    <t>на розвиток виробництва (виробничі інвестиції)</t>
  </si>
  <si>
    <t>інше використання  прибутку</t>
  </si>
  <si>
    <t>Вартість постачання ТЕ  за відповідними тарифами </t>
  </si>
  <si>
    <t>Середньозважений тариф на постачання теплової енергії </t>
  </si>
  <si>
    <t>Обсяг реалізованої ТЕ власним споживачам</t>
  </si>
  <si>
    <t>Додаток 5</t>
  </si>
  <si>
    <t>Розрахунок тарифів на теплову енергію</t>
  </si>
  <si>
    <t>на потреби споживачів: </t>
  </si>
  <si>
    <t>Тариф на виробництво теплової енергії, зокрема: </t>
  </si>
  <si>
    <t>витрати на відшкодування втрат </t>
  </si>
  <si>
    <t>Тариф на транспортування теплової енергії, зокрема: </t>
  </si>
  <si>
    <t>Тариф на постачання теплової енергії, зокрема: </t>
  </si>
  <si>
    <t>Тариф на теплову енергію, зокрема: </t>
  </si>
  <si>
    <t>4.3 </t>
  </si>
  <si>
    <t>Річні планові доходи від виробництва, транспортування, постачання теплової енергії, усього,  зокрема: </t>
  </si>
  <si>
    <t>5.3 </t>
  </si>
  <si>
    <t>Річні планові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 зокрема: </t>
  </si>
  <si>
    <t>6.3 </t>
  </si>
  <si>
    <t>Плановий корисний відпуск з мереж ліцензіата теплової енергії власним споживачам та теплової енергії інших власників, зокрема: </t>
  </si>
  <si>
    <t>Рівні рентабельності тарифів: </t>
  </si>
  <si>
    <t>Розрахунок двоставкових тарифів на теплову енергію</t>
  </si>
  <si>
    <t>Найменування показників </t>
  </si>
  <si>
    <t>Сумарні та середньозважені показники  </t>
  </si>
  <si>
    <t>Для потреб споживачів </t>
  </si>
  <si>
    <t>бюджетні установи </t>
  </si>
  <si>
    <t>інші споживачі </t>
  </si>
  <si>
    <t>Обсяг реалізації теплової енергії власним споживачам </t>
  </si>
  <si>
    <t>Теплове навантаження об'єктів теплоспоживання власних споживачів </t>
  </si>
  <si>
    <t>Гкал/год </t>
  </si>
  <si>
    <t>Виробництво теплової енергії </t>
  </si>
  <si>
    <t>Повна планова собівартість виробництва теплової енергії, усього, у т. ч.: </t>
  </si>
  <si>
    <t>тис. грн. </t>
  </si>
  <si>
    <t>умовно змінні витрати, усього, у т. ч.: </t>
  </si>
  <si>
    <t>3.1.1 </t>
  </si>
  <si>
    <t>витрати на технологічне паливо для виробництва теплової енергії котельнями </t>
  </si>
  <si>
    <t>3.1.2 </t>
  </si>
  <si>
    <t>витрати на технологічну електроенергію для виробництва теплової енергії котельнями </t>
  </si>
  <si>
    <t>3.1.3 </t>
  </si>
  <si>
    <t>покупна теплова енергія та собівартість теплової енергії власних ТЕЦ, ТЕС, АЕС, когенераційних установок </t>
  </si>
  <si>
    <t>умовно постійні витрати, усього - решта витрат повної планової собівартості виробництва теплової енергії </t>
  </si>
  <si>
    <t>Додаток  3</t>
  </si>
  <si>
    <t xml:space="preserve">          Додаток 4</t>
  </si>
  <si>
    <t>Додаток 1</t>
  </si>
  <si>
    <t>Додаток 2</t>
  </si>
  <si>
    <t>Додаток 32</t>
  </si>
  <si>
    <t>Додаток 9</t>
  </si>
  <si>
    <t>Додаток 10</t>
  </si>
  <si>
    <t>Додаток 6</t>
  </si>
  <si>
    <t>Додаток 7</t>
  </si>
  <si>
    <t>Додаток 8</t>
  </si>
  <si>
    <t>Додаток 31</t>
  </si>
  <si>
    <t>Додаток 11</t>
  </si>
  <si>
    <t>Додаток 13</t>
  </si>
  <si>
    <t xml:space="preserve"> План 2021  рік всього</t>
  </si>
  <si>
    <t xml:space="preserve"> План 2021 рік всього</t>
  </si>
  <si>
    <t>Додаток  15</t>
  </si>
  <si>
    <t>Додаток 19</t>
  </si>
  <si>
    <t>Додаток 20</t>
  </si>
  <si>
    <t>Директор КП "ЗПТМ" ЗМР                                                                             Ігор  ПИСАНКО</t>
  </si>
  <si>
    <t>Додаток 21</t>
  </si>
  <si>
    <t>Директор КП "ЗПТМ" ЗМР                                                                       Ігор  ПИСАНКО</t>
  </si>
  <si>
    <t>Директор КП "ЗПТМ" ЗМР                                                   Ігор  ПИСАНКО</t>
  </si>
  <si>
    <t>Додаток 23</t>
  </si>
  <si>
    <t xml:space="preserve">Середньозважений прожитковий мінімум </t>
  </si>
  <si>
    <t>Додаток 26</t>
  </si>
  <si>
    <t>Додаток 27</t>
  </si>
  <si>
    <t>Директор КП "ЗПТМ" ЗМР                                                                            Ігор  ПИСАНКО</t>
  </si>
  <si>
    <t>Директор  КП "ЗПТМ" ЗМР                                                                   Ігор  ПИСАНКО</t>
  </si>
  <si>
    <t>Додаток 24</t>
  </si>
  <si>
    <t>Додаток 25</t>
  </si>
  <si>
    <t>Директор КП "ЗПТМ" ЗМР                                                                     Ігор  ПИСАНКО</t>
  </si>
  <si>
    <t>Додаток 29</t>
  </si>
  <si>
    <t>Договір з ТОВ"Славутич-сервіс"</t>
  </si>
  <si>
    <t>Додаток 30</t>
  </si>
  <si>
    <t>Разом на 2021 рік</t>
  </si>
  <si>
    <t>Додаток 28</t>
  </si>
  <si>
    <t>Додаток 16</t>
  </si>
  <si>
    <t>Додаток 17</t>
  </si>
  <si>
    <t>Додаток 18</t>
  </si>
  <si>
    <t xml:space="preserve">          Планові витрати мастила на 2021 рік</t>
  </si>
  <si>
    <t>Директор КП "ЗПТМ" ЗМР                                                                                                                                                                       Ігор ПИСАНКО</t>
  </si>
  <si>
    <t>Додаток 22</t>
  </si>
  <si>
    <t>Директор  КП "ЗПТМ" ЗМР                       Ігор ПИСАНКО</t>
  </si>
  <si>
    <t>Гол</t>
  </si>
  <si>
    <t xml:space="preserve">               Головний економіст                          Любов ДУДНІЧЕНКО</t>
  </si>
  <si>
    <t>Плановий прибуток в тарифах на виробництво теплової енергії, усього, у .ч.: </t>
  </si>
  <si>
    <t>в умовно-змінній частині </t>
  </si>
  <si>
    <t>в умовно-постійній частині </t>
  </si>
  <si>
    <t>Умовно-змінна частина двоставкового тарифу на виробництво теплової енергії, у т. ч.: </t>
  </si>
  <si>
    <t>складова собівартості (пункт 3.1/ пункт 1) </t>
  </si>
  <si>
    <t>складова прибутку (пункт 4.1/ пункт 1) </t>
  </si>
  <si>
    <t>Умовно-постійна частина двоставкового тарифу на виробництво теплової енергії - місячна абонентська плата на одиницю теплового навантаження, у т. ч.: </t>
  </si>
  <si>
    <t>грн/Гкал/год </t>
  </si>
  <si>
    <t>складова собівартості (пункт 3.2/ пункт 2/12) </t>
  </si>
  <si>
    <t>складова прибутку (пункт 4.2/ пункт 2/12) </t>
  </si>
  <si>
    <t>грн./Гкал/год </t>
  </si>
  <si>
    <t>Транспортування теплової енергії </t>
  </si>
  <si>
    <t>Повна планова собівартість транспортування теплової енергії, усього, у т. ч.: </t>
  </si>
  <si>
    <t>витрати на електроенергію для транспортування ТЕ </t>
  </si>
  <si>
    <t>Умовно постійні витрати, усього - решта витрат повної планової собівартості транспортування  теплової  енергії </t>
  </si>
  <si>
    <t>Плановий прибуток в тарифах на транспортування теплової енергії </t>
  </si>
  <si>
    <t>10.1 </t>
  </si>
  <si>
    <t>10.2 </t>
  </si>
  <si>
    <t>11.1 </t>
  </si>
  <si>
    <t>11.2 </t>
  </si>
  <si>
    <t>Постачання теплової енергії </t>
  </si>
  <si>
    <t>Повна планова собівартість постачання теплової енергії, усього - умовно-постійні витрати </t>
  </si>
  <si>
    <t>Плановий прибуток в тарифах на постачання теплової енергії  </t>
  </si>
  <si>
    <t>Місячна абонентська плата за постачання теплової енергії на одиницю теплового навантаження, у т. ч.: </t>
  </si>
  <si>
    <t>15.1 </t>
  </si>
  <si>
    <t>15.2 </t>
  </si>
  <si>
    <t xml:space="preserve">Двоставкові тарифи на теплову енергію </t>
  </si>
  <si>
    <t>Умовно-змінна частина двоставкового тарифу на теплову енергію, у т. ч.: </t>
  </si>
  <si>
    <t>Двоставковий тариф  на  теплову  енергію з податком на додану  вартість:</t>
  </si>
  <si>
    <t>16.2 </t>
  </si>
  <si>
    <t>умовно-змінна частина двоставкового тарифу на теплову енергію </t>
  </si>
  <si>
    <t>умовно-постійна частина двоставкового тарифу на теплову енергію (абонентська плата) </t>
  </si>
  <si>
    <t xml:space="preserve">КП "Звенигородське підприємство теплових мереж" Звенигородської міської ради </t>
  </si>
  <si>
    <t>Вартість виробництва ТЕ за відповідними тарифами</t>
  </si>
  <si>
    <t>Розрахунковий прибуток, усього, у т. ч.:</t>
  </si>
  <si>
    <t>Повна собівартість</t>
  </si>
  <si>
    <t>Інші операційні витрати</t>
  </si>
  <si>
    <t>Корисний відпуск ТЕ з мереж ліцензіата</t>
  </si>
  <si>
    <t>Розрахунковий прибуток, усього, зокрема: </t>
  </si>
  <si>
    <t>1.3.4 </t>
  </si>
  <si>
    <t>витрати на покриття втрат теплової енергії в теплових мережах</t>
  </si>
  <si>
    <t>без ПДВ</t>
  </si>
  <si>
    <t xml:space="preserve">            без ПДВ</t>
  </si>
  <si>
    <t>9.1 </t>
  </si>
  <si>
    <t>9.2 </t>
  </si>
  <si>
    <t>16.1 </t>
  </si>
  <si>
    <t>17.2 </t>
  </si>
  <si>
    <t>17.3 </t>
  </si>
  <si>
    <t>складова собівартості (пункт 7.1/ пункт 1) </t>
  </si>
  <si>
    <t>складова прибутку (пункт 9.1/ пункт 1) </t>
  </si>
  <si>
    <t>складова прибутку (пункт 9.2/ пункт 2/12) </t>
  </si>
  <si>
    <t>складова собівартості (пункт 8/ пункт 2/12) </t>
  </si>
  <si>
    <t>складова собівартості (пункт 12/ пункт 2/12) </t>
  </si>
  <si>
    <t>складова прибутку (пункт 13/ пункт 2/12) </t>
  </si>
  <si>
    <t>складова прибутку (пункт 5.2 + пункт 10.2) </t>
  </si>
  <si>
    <t>складова собівартості (пункт 5.1 + пункт 10.1)  </t>
  </si>
  <si>
    <t>Умовно-постійна частина двоставкового тарифу на теплову енергію - місячна абонентська плата на одиницю теплового навантаження (пункт 6 + пункт 11 + пункт 14), у т. ч.: </t>
  </si>
  <si>
    <t>складова собівартості (пункт 6.1 + пункт 11.1 + пункт 14.1) </t>
  </si>
  <si>
    <t>складова прибутку (пункт 6.2 + пункт 11.2 + пункт 14.2) </t>
  </si>
  <si>
    <t>оплата послуг з проведення навчань та семінарів</t>
  </si>
  <si>
    <t>витрати на обслуговування оргтехніки (заправка картриджів)</t>
  </si>
  <si>
    <t>Розрахунок згідно Колективного договору</t>
  </si>
  <si>
    <t>Планова собі- вартість на 2020 р</t>
  </si>
  <si>
    <t>№ з/п</t>
  </si>
  <si>
    <t>1.1.</t>
  </si>
  <si>
    <t>1.2.</t>
  </si>
  <si>
    <t>1.1.1.</t>
  </si>
  <si>
    <t>1.1.2.</t>
  </si>
  <si>
    <t>1.1.3.</t>
  </si>
  <si>
    <t>1.1.4.</t>
  </si>
  <si>
    <t>1.1.5.</t>
  </si>
  <si>
    <t>1.1.6.</t>
  </si>
  <si>
    <t>Обсяг реалізації теплової енергії</t>
  </si>
  <si>
    <t>Структура тарифу на теплову енергію по КП "Звенигородське підприємство теплових мереж" Звенигородської міської ради</t>
  </si>
  <si>
    <t xml:space="preserve">РІЧНИЙ  ПЛАН  ВИРОБНИЦТВА, ТРАНСПОРТУВАННЯ ТА ПОСТАЧАННЯ  ТЕПЛОВОЇ  ЕНЕРГІЇ на опалювальний період 2020-2021 років по КП "Звенигородське підприємство теплових мереж" Звенигородської міської ради </t>
  </si>
  <si>
    <t xml:space="preserve">Річний план </t>
  </si>
  <si>
    <t>обсяг 2019-2020</t>
  </si>
  <si>
    <t>к-ть місяців</t>
  </si>
  <si>
    <t>Газ</t>
  </si>
  <si>
    <t xml:space="preserve">Разом за рік </t>
  </si>
  <si>
    <t>Середня ціна</t>
  </si>
  <si>
    <t>Розподіл газу</t>
  </si>
  <si>
    <t>м.куб.</t>
  </si>
  <si>
    <t>Сума</t>
  </si>
  <si>
    <t>тариф, грн</t>
  </si>
  <si>
    <t>на місяць, м.куб.</t>
  </si>
  <si>
    <t xml:space="preserve">Зведений розрахунок витрат на оплату праці та відрахування на соціальні заходи по КП "Звенигородське підприємство теплових мереж" Звенигородської міської ради 
</t>
  </si>
  <si>
    <t>Всього витрат на загальнообов'язкове державне соціальне страхування, у тому числі:</t>
  </si>
  <si>
    <t xml:space="preserve">Зведений розрахунок витрат на оплату праці та відрахування на соціальні заходи по КП "Звенигородське підприємство теплових мереж" Звенигородської міської ради </t>
  </si>
  <si>
    <t>Виробничий персонал всього, у т.ч.:</t>
  </si>
  <si>
    <t>осіб з інвалідністю</t>
  </si>
  <si>
    <t>інші працівники</t>
  </si>
  <si>
    <t>Загальновиробничий персонал всього, у т.ч.:</t>
  </si>
  <si>
    <t>Адміністративний персонал всього, у т.ч.:</t>
  </si>
  <si>
    <t>Всього витрат на оплату праці, тис.грн.</t>
  </si>
  <si>
    <t>* розмір ЄСВ - 22%, осіб з інвалідністю - 8,41%</t>
  </si>
  <si>
    <t>План на рік</t>
  </si>
  <si>
    <t>встановлення, обслуговування та заміна вузлів комерційного обліку</t>
  </si>
  <si>
    <t>Середня зарплата, грн./міс.</t>
  </si>
  <si>
    <t>Розрахунок  витрат на оплату праці загальновиробничого персоналу по КП "Звенигородське підприємство теплових мереж" Звенигородської міської ради</t>
  </si>
  <si>
    <t>Розрахунок  витрат на оплату праці адміністративного персоналу по КП "Звенигородське підприємство теплових мереж" Звенигородської міської ради</t>
  </si>
  <si>
    <t>договір з ТОВ "Інститут елеrтронних закупівель" та Черкаською торгово-промисловою палатою</t>
  </si>
  <si>
    <t>обсяг 2020-2021</t>
  </si>
  <si>
    <t>Річна замовлена потужність об’єкта на опалювальний період 2021-2022 рр.</t>
  </si>
  <si>
    <t>Плановий бсяг за 2021-2022</t>
  </si>
  <si>
    <r>
      <t xml:space="preserve">Фактичний обсяг робіт за </t>
    </r>
    <r>
      <rPr>
        <b/>
        <sz val="11"/>
        <color indexed="8"/>
        <rFont val="Calibri"/>
        <family val="2"/>
        <charset val="204"/>
      </rPr>
      <t>2020</t>
    </r>
    <r>
      <rPr>
        <sz val="10"/>
        <rFont val="Arial Cyr"/>
        <charset val="204"/>
      </rPr>
      <t xml:space="preserve"> рік</t>
    </r>
  </si>
  <si>
    <t>Розрахунок обсягу витрат пального по КП "Звенигородське підприємство теплових мереж" Звенигородської міської ради на 2021 рік</t>
  </si>
  <si>
    <r>
      <t xml:space="preserve">Плановий обсяг робіт на </t>
    </r>
    <r>
      <rPr>
        <b/>
        <sz val="11"/>
        <color indexed="8"/>
        <rFont val="Calibri"/>
        <family val="2"/>
        <charset val="204"/>
      </rPr>
      <t>2021</t>
    </r>
    <r>
      <rPr>
        <sz val="10"/>
        <rFont val="Arial Cyr"/>
        <charset val="204"/>
      </rPr>
      <t xml:space="preserve"> рік</t>
    </r>
  </si>
  <si>
    <t>Плановий обсяг робіт на 2021 рік</t>
  </si>
  <si>
    <t>Норма витрат мастила, встановлена на 2021 рік</t>
  </si>
  <si>
    <t>Розрахунок обсягу витрат мастила по КП "Звенигородське підприємство теплових мереж" Звенигородської міської ради на 2021 рік</t>
  </si>
  <si>
    <r>
      <t xml:space="preserve">Плановий обсяг витрат мастила на </t>
    </r>
    <r>
      <rPr>
        <b/>
        <sz val="11"/>
        <color indexed="8"/>
        <rFont val="Calibri"/>
        <family val="2"/>
        <charset val="204"/>
      </rPr>
      <t>2021</t>
    </r>
    <r>
      <rPr>
        <sz val="10"/>
        <rFont val="Arial Cyr"/>
        <charset val="204"/>
      </rPr>
      <t xml:space="preserve"> рік, л.</t>
    </r>
  </si>
  <si>
    <t>Розрахунок  витрат паливно-мастильних матеріалів по КП "Звенигородське підприємство теплових мереж" Звенигородської міської ради на 2021 рік</t>
  </si>
  <si>
    <t xml:space="preserve">          Планові витрати пального на 2021 рік</t>
  </si>
  <si>
    <r>
      <t xml:space="preserve">Плановий обсяг витрат пального на </t>
    </r>
    <r>
      <rPr>
        <b/>
        <sz val="11"/>
        <color indexed="8"/>
        <rFont val="Calibri"/>
        <family val="2"/>
        <charset val="204"/>
      </rPr>
      <t>2021</t>
    </r>
    <r>
      <rPr>
        <sz val="10"/>
        <rFont val="Arial Cyr"/>
        <charset val="204"/>
      </rPr>
      <t xml:space="preserve"> рік, л.</t>
    </r>
  </si>
  <si>
    <t>жовтень-листопад 2021</t>
  </si>
  <si>
    <t>грудень 2021 - вересень 2022</t>
  </si>
  <si>
    <t>За збільшений обсяг робіт 20%</t>
  </si>
  <si>
    <t>Бухгалтер по розрахунках з організаціями</t>
  </si>
  <si>
    <t>Бухгалтер</t>
  </si>
  <si>
    <t>План 2021 рік</t>
  </si>
  <si>
    <t>фактичний рівень  за 2020 рік</t>
  </si>
  <si>
    <t>витрати на матеріали для поточного ремонту</t>
  </si>
  <si>
    <t>фактичний рівень за 2020 рік</t>
  </si>
  <si>
    <t>матеріали для поточного ремонту приміщення</t>
  </si>
  <si>
    <t>витрати на користування програмою "Медок"</t>
  </si>
  <si>
    <t>канцелярські та поштові витрати, переплата періодичних видань</t>
  </si>
  <si>
    <t>друк оголошень в пресі щодо встановлення тарифів</t>
  </si>
  <si>
    <t>послуги спеціалізованих організацій щодо техвипробовувань,вимірювань, техобслуговування</t>
  </si>
  <si>
    <t>Витрати реактивної електроенергії на технологічні потреби (фактичний обсяг за опалювальний період 2020-2021 рр.)</t>
  </si>
  <si>
    <t>КП "Звенигородське підприємство теплових мереж" Звенигородської міської ради  на 2021-2022 опалювальний рік</t>
  </si>
  <si>
    <t>інше використання прибутку (обігові кошти 4%)</t>
  </si>
  <si>
    <t>Бюджет</t>
  </si>
  <si>
    <t>Питома вага, %</t>
  </si>
  <si>
    <t>Корисний відпуск, тис.Гкал</t>
  </si>
  <si>
    <t>Відпущено в мережу, тис.Гкал</t>
  </si>
  <si>
    <t>Втрати в мережах, тис.Гкал</t>
  </si>
  <si>
    <t>Директор КП "ЗПТМ" ЗМР</t>
  </si>
  <si>
    <t>Ігор ПИСАНКО</t>
  </si>
  <si>
    <t>Ігор  ПИСАНКО</t>
  </si>
  <si>
    <t>Директор КП "ЗПТМ"  ЗМР</t>
  </si>
  <si>
    <t>база розподілу загальновиробничих витрат між В, Т, П ТЕ по виробничій собівартості</t>
  </si>
  <si>
    <t>Витрати на охорону праці виробничого і загальновиробничого персоналу, у т.ч.:</t>
  </si>
  <si>
    <t>Костюм робочий, шт (норматив 24 місяці)</t>
  </si>
  <si>
    <t>Берет/шапка/берет (24 місяців)</t>
  </si>
  <si>
    <t>Жилет сигнальний</t>
  </si>
  <si>
    <t>Ціна одиниці без ПДВ</t>
  </si>
  <si>
    <t>Куртка, шт (норматив 36 місяців)</t>
  </si>
  <si>
    <t>Ліцензовані види діяльності</t>
  </si>
  <si>
    <r>
      <t xml:space="preserve">№ </t>
    </r>
    <r>
      <rPr>
        <b/>
        <sz val="11"/>
        <color indexed="8"/>
        <rFont val="Times New Roman"/>
        <family val="1"/>
        <charset val="204"/>
      </rPr>
      <t>з/п</t>
    </r>
  </si>
  <si>
    <t>Найменування професії</t>
  </si>
  <si>
    <t>Слюсар з експлуатації та ремонту газового устаткування (5 розряд)</t>
  </si>
  <si>
    <t>Токар (5 розряд)</t>
  </si>
  <si>
    <t>холодна вода та водовідведення</t>
  </si>
  <si>
    <t>паливо</t>
  </si>
  <si>
    <t>вода для технологічних потреб та водовідведення</t>
  </si>
  <si>
    <t>матеріали, запасні частини та інші матеріальні ресурси</t>
  </si>
  <si>
    <t xml:space="preserve">Прямі витрати на оплату праці </t>
  </si>
  <si>
    <t>амортизаційні відрахування</t>
  </si>
  <si>
    <t>год/міс</t>
  </si>
  <si>
    <t>база розподілу витрат між групами спожиачів по обсягу</t>
  </si>
  <si>
    <t xml:space="preserve">Водовідведення для загальновиробничих потреб </t>
  </si>
  <si>
    <t xml:space="preserve">Розрахункова норма водовідведення на технологічні та комунальні потреби </t>
  </si>
  <si>
    <t>Інші дані</t>
  </si>
  <si>
    <t>Одиниці
виміру</t>
  </si>
  <si>
    <t xml:space="preserve">Прямі витрати всього, у т.ч.: </t>
  </si>
  <si>
    <t>тис.грн.</t>
  </si>
  <si>
    <t>тис.Гкал</t>
  </si>
  <si>
    <t>тис.м.куб</t>
  </si>
  <si>
    <t>тис. кВт/ г</t>
  </si>
  <si>
    <t>Ціна природного газу для бюджетних установ</t>
  </si>
  <si>
    <t>Бюджетні установи</t>
  </si>
  <si>
    <t>Інші споживачі</t>
  </si>
  <si>
    <t>грн./Гкал</t>
  </si>
  <si>
    <t>Вода для технологічних потреб всього, у т.ч.:</t>
  </si>
  <si>
    <t>Загальновиробничі витрати всього, у т.ч.:</t>
  </si>
  <si>
    <t>3 Відпуск теплової енергії з колекторів власних котелень</t>
  </si>
  <si>
    <t>Слюсар з контрольно-вимірювальних приладів та автоматики (5 розряд)</t>
  </si>
  <si>
    <t>Циблі</t>
  </si>
  <si>
    <t>група 104</t>
  </si>
  <si>
    <t>Група 106</t>
  </si>
  <si>
    <t>Група 109</t>
  </si>
  <si>
    <t>Група 111</t>
  </si>
  <si>
    <t>НА</t>
  </si>
  <si>
    <t>адмін</t>
  </si>
  <si>
    <t>пр-во</t>
  </si>
  <si>
    <t>виробництво</t>
  </si>
  <si>
    <t>загальновиробничі</t>
  </si>
  <si>
    <t>загальновироб</t>
  </si>
  <si>
    <t>виробничі</t>
  </si>
  <si>
    <t>транспортування</t>
  </si>
  <si>
    <t>Вартість спецодягу та спецвзуття</t>
  </si>
  <si>
    <t>Витрати на миючі засоби (мило та миття підлоги)</t>
  </si>
  <si>
    <t>Найменування спецодягу та спецвзуття всього, в т.ч.:</t>
  </si>
  <si>
    <t>Витрати на мило та миючі засоби</t>
  </si>
  <si>
    <t>тис. кВар</t>
  </si>
  <si>
    <t xml:space="preserve">Виробництво ТЕ </t>
  </si>
  <si>
    <t xml:space="preserve">Транспортування ТЕ
</t>
  </si>
  <si>
    <t>Діючий тариф на послуги АК "Київводоканалу" без ПДВ</t>
  </si>
  <si>
    <t>№ п/п</t>
  </si>
  <si>
    <t>Головний бухгалтер</t>
  </si>
  <si>
    <t>збут</t>
  </si>
  <si>
    <t>розрахунково-касове обслуговування</t>
  </si>
  <si>
    <t>Вартість електроенергії на адміністративні потреби</t>
  </si>
  <si>
    <t xml:space="preserve">водопостачання </t>
  </si>
  <si>
    <t>Виробнича собівартість виробленої теплової енергії всього, у т.ч.:</t>
  </si>
  <si>
    <t>Без ПДВ</t>
  </si>
  <si>
    <t>N з/п </t>
  </si>
  <si>
    <t>Найменування показника </t>
  </si>
  <si>
    <t>Одиниця виміру </t>
  </si>
  <si>
    <t>Сумарні та середньозважені показники </t>
  </si>
  <si>
    <t>населення </t>
  </si>
  <si>
    <t>бюджетних установ </t>
  </si>
  <si>
    <t>інших споживачів </t>
  </si>
  <si>
    <t>1 </t>
  </si>
  <si>
    <t>2 </t>
  </si>
  <si>
    <t>3 </t>
  </si>
  <si>
    <t>4 </t>
  </si>
  <si>
    <t>5 </t>
  </si>
  <si>
    <t>6 </t>
  </si>
  <si>
    <t>7 </t>
  </si>
  <si>
    <t>грн/Гкал </t>
  </si>
  <si>
    <t>1.1 </t>
  </si>
  <si>
    <t>повна планова собівартість виробництва теплової енергії </t>
  </si>
  <si>
    <t>1.2 </t>
  </si>
  <si>
    <t>плановий прибуток </t>
  </si>
  <si>
    <t>2.1 </t>
  </si>
  <si>
    <t>повна планова собівартість транспортування теплової енергії </t>
  </si>
  <si>
    <t>2.2 </t>
  </si>
  <si>
    <t>3.1 </t>
  </si>
  <si>
    <t>повна планова собівартість постачання теплової енергії </t>
  </si>
  <si>
    <t>3.2 </t>
  </si>
  <si>
    <t>Кількість мешканців</t>
  </si>
  <si>
    <t>що проживають в гуртожитках МВД України</t>
  </si>
  <si>
    <t>що проживають в гуртожитках СІЗО (душова в житлових кімнатах)</t>
  </si>
  <si>
    <t>Норма споживання гарячої води одним працюючим</t>
  </si>
  <si>
    <t>л/добу</t>
  </si>
  <si>
    <t>КТМ 204</t>
  </si>
  <si>
    <t>Слюсар з експлуатації та ремонту газового устаткування</t>
  </si>
  <si>
    <t>Слюсар з ремонту автомобілів</t>
  </si>
  <si>
    <t>Токар</t>
  </si>
  <si>
    <t>Прибиральник службових та виробничих приміщень</t>
  </si>
  <si>
    <t>Косинка</t>
  </si>
  <si>
    <t>Рукавички гумові</t>
  </si>
  <si>
    <t>Машиніст котлів на твердому паливі, зольник</t>
  </si>
  <si>
    <t>Електромонтер</t>
  </si>
  <si>
    <t>Галоші діелектричні</t>
  </si>
  <si>
    <t>Сторож для зовнішнього</t>
  </si>
  <si>
    <t>Валянки</t>
  </si>
  <si>
    <t>Оператор теплового пункту, машиніст двигунів внутрішнього згорання</t>
  </si>
  <si>
    <t>Вантажник при навантаженні поза приміщеннями, підсобний робітник</t>
  </si>
  <si>
    <t>Різальник на пилах ножівках та верстатах</t>
  </si>
  <si>
    <t>Черевики шкіряні</t>
  </si>
  <si>
    <t>Навушники</t>
  </si>
  <si>
    <t xml:space="preserve">Прямі витрати </t>
  </si>
  <si>
    <t>накладна медикаменты 2461,50 грн/10 объектов</t>
  </si>
  <si>
    <t>Коп., що використовується для визначення максимальних погодинних витрат теплоти на опалення житлових та громадських споруд (Гкал/год)</t>
  </si>
  <si>
    <t>Одиниці виміру</t>
  </si>
  <si>
    <t>Адміністративні витрати всього, у т.ч.:</t>
  </si>
  <si>
    <t>Прямі витрати всього, у т.ч.:</t>
  </si>
  <si>
    <t>Інші прямі витрати всього, у т.ч.:</t>
  </si>
  <si>
    <t>%</t>
  </si>
  <si>
    <t>Інші прямі витрати</t>
  </si>
  <si>
    <t>Витрати активної електроенергії всього по підприємству</t>
  </si>
  <si>
    <t>бюджетні установи</t>
  </si>
  <si>
    <t>Ціна  природного газу для населення всього, в т.ч.:</t>
  </si>
  <si>
    <t>Витрати на спецодяг та спецвзуття</t>
  </si>
  <si>
    <t>Ціна природного газу для інших споживачів всього, в т.ч.:</t>
  </si>
  <si>
    <t>інші споживачі</t>
  </si>
  <si>
    <t>туп</t>
  </si>
  <si>
    <t>кг/Гкал</t>
  </si>
  <si>
    <t>Вода всього по підприємству</t>
  </si>
  <si>
    <t>Водовідведення всього по підприємству</t>
  </si>
  <si>
    <t>грн./тис.м.куб.</t>
  </si>
  <si>
    <t>в тому числі</t>
  </si>
  <si>
    <t>Вартість природного газу</t>
  </si>
  <si>
    <t>Розрахунок витрат на мило та миючі засоби</t>
  </si>
  <si>
    <t>Всього витрат на воду та водовідведення</t>
  </si>
  <si>
    <t>Матеріальні ресурси</t>
  </si>
  <si>
    <t>Тривалість опалювального періоду</t>
  </si>
  <si>
    <t>діб</t>
  </si>
  <si>
    <t>Температура розрахункова зовнішнього повітря для проектування опалення</t>
  </si>
  <si>
    <t>гр.С</t>
  </si>
  <si>
    <t>Температура усереднена розрахункова внутрішнього повітря</t>
  </si>
  <si>
    <t>Кількість годин роботи системи опалення на добу</t>
  </si>
  <si>
    <t>год.</t>
  </si>
  <si>
    <t xml:space="preserve">Договор с ПАТ "КИЇВОБЛГАЗ" </t>
  </si>
  <si>
    <t>ПАТ Укртрансгаз договор № 1604000512</t>
  </si>
  <si>
    <t>Діючий тариф на активну електроенергію ЗАТ "А.Е.С.Київобленерго"</t>
  </si>
  <si>
    <t>Діючий тариф на реактивну електроенергію ЗАТ "А.Е.С.Київобленерго"</t>
  </si>
  <si>
    <t>Кількість штатних одиниць</t>
  </si>
  <si>
    <t>Найменування ЗІЗ</t>
  </si>
  <si>
    <t>Термін носіння, міс.</t>
  </si>
  <si>
    <t>Кіл-сть на рік</t>
  </si>
  <si>
    <t>Ціна за одиницю без ПДВ, грн.</t>
  </si>
  <si>
    <t>Сума, грн.</t>
  </si>
  <si>
    <t>до зносу</t>
  </si>
  <si>
    <t>Пояс запобіжний</t>
  </si>
  <si>
    <t>Рукавиці діелектричні</t>
  </si>
  <si>
    <t>чергові</t>
  </si>
  <si>
    <t>черговий</t>
  </si>
  <si>
    <t>Апаратник ХВО</t>
  </si>
  <si>
    <t>Костюм бавовняний (халат)</t>
  </si>
  <si>
    <t>Чоботи гумові</t>
  </si>
  <si>
    <t>Рукавиці гумові</t>
  </si>
  <si>
    <t>Рукавиці комбіновані</t>
  </si>
  <si>
    <t>Фартух прогумований</t>
  </si>
  <si>
    <t>черг</t>
  </si>
  <si>
    <t>Ковпак бавовняний</t>
  </si>
  <si>
    <t>Куртка бавовняна утеплена</t>
  </si>
  <si>
    <t>Водій легкового а/м</t>
  </si>
  <si>
    <t>Штани бавовняні утеплені</t>
  </si>
  <si>
    <t>Водій вантажного а/м, машиніст спецмашини</t>
  </si>
  <si>
    <t>Валянки (чоботи кирзові)</t>
  </si>
  <si>
    <t>Машиніст екскаватора, автокрана, тракторист</t>
  </si>
  <si>
    <t>Чоботи кирзові (ботинки)</t>
  </si>
  <si>
    <t>Валянки (чоботи)</t>
  </si>
  <si>
    <t>Електрогазозварник</t>
  </si>
  <si>
    <t>Костюм брезентовий</t>
  </si>
  <si>
    <t>Ботинки шкіряні (чоботи)</t>
  </si>
  <si>
    <t>Рукавиці брезентові</t>
  </si>
  <si>
    <t xml:space="preserve">Окуляри захисні   </t>
  </si>
  <si>
    <t>Шолом захисний з підшоломником</t>
  </si>
  <si>
    <t xml:space="preserve">Адміністративні витрати </t>
  </si>
  <si>
    <t>Костюм</t>
  </si>
  <si>
    <t>Берет</t>
  </si>
  <si>
    <t>Черевики</t>
  </si>
  <si>
    <t>Рукавиці</t>
  </si>
  <si>
    <t>Фартух з нагрудником</t>
  </si>
  <si>
    <t>Куртка утеплена</t>
  </si>
  <si>
    <t>Рукавички</t>
  </si>
  <si>
    <t>Чоботи</t>
  </si>
  <si>
    <t>Підшоломник</t>
  </si>
  <si>
    <t>Штани утеплені</t>
  </si>
  <si>
    <t>Фартух</t>
  </si>
  <si>
    <t xml:space="preserve">Рукавиці комбіновані </t>
  </si>
  <si>
    <t>Штани утеплені, шт (норматив 36 місяців)</t>
  </si>
  <si>
    <t xml:space="preserve">Черевики </t>
  </si>
  <si>
    <t xml:space="preserve">Чоботи </t>
  </si>
  <si>
    <t>Рукавички діелектричні</t>
  </si>
  <si>
    <t>Окуляри захисні</t>
  </si>
  <si>
    <t>грн./КВАР</t>
  </si>
  <si>
    <t>що проживають в житлових будинках (що обслуговуються КП "ЦОС Шевченківського району")</t>
  </si>
  <si>
    <t>Виробничий персонал</t>
  </si>
  <si>
    <t>Загальновиробничий персонал</t>
  </si>
  <si>
    <t>Адміністративний персонал</t>
  </si>
  <si>
    <t>8 </t>
  </si>
  <si>
    <t>  </t>
  </si>
  <si>
    <t>8.1 </t>
  </si>
  <si>
    <t>на виробництво теплової енергії </t>
  </si>
  <si>
    <t>% </t>
  </si>
  <si>
    <t>8.2 </t>
  </si>
  <si>
    <t>на транспортування теплової енергії </t>
  </si>
  <si>
    <t>8.3 </t>
  </si>
  <si>
    <t>на постачання теплової енергії </t>
  </si>
  <si>
    <t>8.4 </t>
  </si>
  <si>
    <t>на теплову енергію </t>
  </si>
  <si>
    <t>електроенергія</t>
  </si>
  <si>
    <t>Доплати та надбавки</t>
  </si>
  <si>
    <t>ВСЬОГО</t>
  </si>
  <si>
    <t xml:space="preserve">Місячний фонд основної ЗП </t>
  </si>
  <si>
    <t xml:space="preserve">Місячний фонд додаткової ЗП </t>
  </si>
  <si>
    <t>грн.</t>
  </si>
  <si>
    <t>Розмір єдиного соціального внеску для інвалідв</t>
  </si>
  <si>
    <t>Посада</t>
  </si>
  <si>
    <t>Водовідведення для адміністративних потреб</t>
  </si>
  <si>
    <t>у т.ч. за місяцями</t>
  </si>
  <si>
    <t>січень</t>
  </si>
  <si>
    <t>лютий</t>
  </si>
  <si>
    <t>березень</t>
  </si>
  <si>
    <t>квітень</t>
  </si>
  <si>
    <t xml:space="preserve"> 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</si>
  <si>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</si>
  <si>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</si>
  <si>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</si>
  <si>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</si>
  <si>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</si>
  <si>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</si>
  <si>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</si>
  <si>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план</t>
  </si>
  <si>
    <t>Населення</t>
  </si>
  <si>
    <t>Бюджетних установ</t>
  </si>
  <si>
    <t>Інших споживачів</t>
  </si>
  <si>
    <t>Власні приміщення</t>
  </si>
  <si>
    <t>те ж у відсотках від пункту 3</t>
  </si>
  <si>
    <t xml:space="preserve">       те ж у відсотках від п. 5.3</t>
  </si>
  <si>
    <t>Тривалість опалювального періоду всього, в т.ч.</t>
  </si>
  <si>
    <t xml:space="preserve">Температура середня зовнішнього повітря за опалювальний період, у тому числі про місяцям: </t>
  </si>
  <si>
    <t>Нормативні дані (згідно «Норм та вказівок по нормуванню витрат палива та теплової енергії на опалення житлових  та громадських споруд, а також на господарсько-побутові потреби в України» КТМ 204 України 244-94 )/ДСТУ Будівельна кліматологія України</t>
  </si>
  <si>
    <t>Транспортування ТЕ</t>
  </si>
  <si>
    <t>Відпуск теплової енергії з колекторів котельні</t>
  </si>
  <si>
    <t xml:space="preserve">витрати води на заповнення мережі </t>
  </si>
  <si>
    <t>витрати на промивку теплових мереж</t>
  </si>
  <si>
    <t>витрати на гідравлічні випробування теплових мереж</t>
  </si>
  <si>
    <t>Питома норма електроенергії на 1 Гкал відпущену з колекторів</t>
  </si>
  <si>
    <t>Вартість електроенергії на допоміжні потреби</t>
  </si>
  <si>
    <t xml:space="preserve">Інженерно-технічні працівники /лінійний персонал/, виконавці робіт, майстри, механік, інженер з охорони праці  </t>
  </si>
  <si>
    <t>Плащ водостійкий</t>
  </si>
  <si>
    <t>Вогнетривник</t>
  </si>
  <si>
    <t>Респіратор</t>
  </si>
  <si>
    <t>Зав.складом, комірник</t>
  </si>
  <si>
    <t>Халат (костюм) бавовняний</t>
  </si>
  <si>
    <t>Машиніст котлів на газоподібному паливі</t>
  </si>
  <si>
    <t>Черевики шкіряні (чоботи)</t>
  </si>
  <si>
    <t>Слюсар з обслуговування теплових мереж</t>
  </si>
  <si>
    <t>Костюм бавовняний</t>
  </si>
  <si>
    <t xml:space="preserve">Костюм бавовняний </t>
  </si>
  <si>
    <t>Чоботи кирзові (черевики)</t>
  </si>
  <si>
    <t>Плащ непромокаючий</t>
  </si>
  <si>
    <t>Слюсар з ремонту устаткування котелених та пило-підготовчих цехів</t>
  </si>
  <si>
    <t>Слюсар з КВПіА</t>
  </si>
  <si>
    <t>чергова</t>
  </si>
  <si>
    <t>база розподілу ЗВВ та адмін. витрат між всіма видами діяльності пропорціійно чисельності основного персоналу</t>
  </si>
  <si>
    <t>Фонд оплати праці всього</t>
  </si>
  <si>
    <t>Факт 2017 рік</t>
  </si>
  <si>
    <t>ціна газу без урахуванням цільової надбавки</t>
  </si>
  <si>
    <t>з душем у житлових кімнатах (норма споживання гарячої води 40 л/добу)</t>
  </si>
  <si>
    <t>з ваннами (норма споживання гарячої води 100 л/добу)</t>
  </si>
  <si>
    <t xml:space="preserve">ціна природного газу </t>
  </si>
  <si>
    <t>Вода для адміністративних потреб</t>
  </si>
  <si>
    <t xml:space="preserve">витрати на ХВО </t>
  </si>
  <si>
    <t>транспортування природного газу магістральними трубопроводами</t>
  </si>
  <si>
    <t>розподіл пиродного газу газорозподільною системою</t>
  </si>
  <si>
    <t>Коефіцієнт за Галузевою угодою</t>
  </si>
  <si>
    <t>Тарифна ставка робітника 1 розряду</t>
  </si>
  <si>
    <t>Витрати електроенергії на загальновиробничі потреби:</t>
  </si>
  <si>
    <t>тис. грн</t>
  </si>
  <si>
    <t xml:space="preserve">2. Витрати теплової енергії на власні виробничі потреби  </t>
  </si>
  <si>
    <t xml:space="preserve">1. Виробництво теплової енергії </t>
  </si>
  <si>
    <t>5. Надходження теплової енергії в мережу</t>
  </si>
  <si>
    <t>6. Втрати теплової енергії в теплових мережах усього</t>
  </si>
  <si>
    <t>7. Корисний відпуск теплової енергії з мереж усього, у тому числі:</t>
  </si>
  <si>
    <t>7.1 Теплова енергія інших власників</t>
  </si>
  <si>
    <t xml:space="preserve">7.2 Господарські потреби ліцензованої діяльності </t>
  </si>
  <si>
    <t>7.3 Корисний відпуск теплової енергії власним споживачам усього, у т.ч. на потреби:</t>
  </si>
  <si>
    <t>7.3.1 Населення</t>
  </si>
  <si>
    <t>7.3.2 Бюджетних установ</t>
  </si>
  <si>
    <t>7.3.3 Інших споживачів:</t>
  </si>
  <si>
    <t>4 Теплова енергія інших власників</t>
  </si>
  <si>
    <t>Документ, обгрунтування</t>
  </si>
  <si>
    <t>База розподілу загальновиробничих витрат між В, Т, П ТЕ по прями витратам</t>
  </si>
  <si>
    <t>Кількість, куб.м</t>
  </si>
  <si>
    <r>
      <t>Тариф без ПДВ, грн./м</t>
    </r>
    <r>
      <rPr>
        <b/>
        <vertAlign val="superscript"/>
        <sz val="10"/>
        <rFont val="Arial CYR"/>
        <family val="2"/>
        <charset val="204"/>
      </rPr>
      <t>3</t>
    </r>
  </si>
  <si>
    <t>Вартість, тис.грн.</t>
  </si>
  <si>
    <t>база розподілу адміністративних витрат між В, Т, П ТЕ по виробничій собівартості</t>
  </si>
  <si>
    <t>Чисельність персоналу, осіб</t>
  </si>
  <si>
    <t xml:space="preserve">Виробничий персонал </t>
  </si>
  <si>
    <t xml:space="preserve">Адміністративний персонал </t>
  </si>
  <si>
    <t>Витрати електроенергії на адміністративні потреби:</t>
  </si>
  <si>
    <t>водовідведення</t>
  </si>
  <si>
    <t>грн.кВар/ г</t>
  </si>
  <si>
    <t>Вода для технологічних потреб</t>
  </si>
  <si>
    <t>Електроенергія для технологічних потреб</t>
  </si>
  <si>
    <t>Витрати із збуту</t>
  </si>
  <si>
    <t>Інші витрати з операційної діяльності</t>
  </si>
  <si>
    <t>Витрати з операційної діяльності всього</t>
  </si>
  <si>
    <t>Повна собівартість теплової енергії</t>
  </si>
  <si>
    <t>забезпечення охорони праці і дотримання техніки безпеки</t>
  </si>
  <si>
    <t>Повна собівартість одиниці теплової енергії</t>
  </si>
  <si>
    <t>Вартісні дані (без ПДВ)</t>
  </si>
  <si>
    <t>грн/куб.м</t>
  </si>
  <si>
    <t>тис. грн.</t>
  </si>
  <si>
    <t>Податок на додану вартість (ПДВ)</t>
  </si>
  <si>
    <t>Всього</t>
  </si>
  <si>
    <t>Адміністративні витрати</t>
  </si>
  <si>
    <t>Фінансові витрати</t>
  </si>
  <si>
    <t>Загальновиробничі витрати</t>
  </si>
  <si>
    <t>населення</t>
  </si>
  <si>
    <t>грн./кВт/г</t>
  </si>
  <si>
    <t>Прямі витрати на оплату праці</t>
  </si>
  <si>
    <t>Показники</t>
  </si>
  <si>
    <t xml:space="preserve">Показники </t>
  </si>
  <si>
    <t>Вартість електроенергії всього по підприємству</t>
  </si>
  <si>
    <t xml:space="preserve">Тариф на послуги водопостачання </t>
  </si>
  <si>
    <t xml:space="preserve">Тариф на послуги водовідведення </t>
  </si>
  <si>
    <t>витрати води на піджвлення мережі</t>
  </si>
  <si>
    <t>електроенергія на виробництво теплової енергії</t>
  </si>
  <si>
    <t>осіб</t>
  </si>
  <si>
    <t>Тариф на послуги водопостачання та водовідведення</t>
  </si>
  <si>
    <t>Гкал</t>
  </si>
  <si>
    <t>Розмір єдиного соціального внеску</t>
  </si>
  <si>
    <t>Виробництво ТЕ</t>
  </si>
  <si>
    <t>Постачання ТЕ</t>
  </si>
  <si>
    <t>холодна вода для технологічних потреб та водовідведення</t>
  </si>
  <si>
    <t xml:space="preserve">електроенергія на потреби діяльності </t>
  </si>
  <si>
    <t>Головний економіст</t>
  </si>
  <si>
    <t>місто</t>
  </si>
  <si>
    <t>Витрати на миючі засоби</t>
  </si>
  <si>
    <t xml:space="preserve">Витрати активної електроенергії на технологічні потреби </t>
  </si>
  <si>
    <t>4.1 </t>
  </si>
  <si>
    <t>повна планова собівартість теплової енергії </t>
  </si>
  <si>
    <t>4.2 </t>
  </si>
  <si>
    <t>тис. грн </t>
  </si>
  <si>
    <t>5.1 </t>
  </si>
  <si>
    <t>повна планова собівартість виробництва, транспортування, постачання теплової енергії </t>
  </si>
  <si>
    <t>5.2 </t>
  </si>
  <si>
    <t>плановий прибуток від виробництва, транспортування, постачання теплової енергії </t>
  </si>
  <si>
    <t>6.1 </t>
  </si>
  <si>
    <t>повна планова собівартість виробництва, транспортування, постачання теплової енергії  </t>
  </si>
  <si>
    <t>6.2 </t>
  </si>
  <si>
    <t>плановий прибуток від виробництва, транспортування, постачання теплової енергії  </t>
  </si>
  <si>
    <t>Гкал </t>
  </si>
  <si>
    <t>7.1 </t>
  </si>
  <si>
    <t>корисний відпуск теплової енергії власним споживачам  </t>
  </si>
  <si>
    <t>7.2 </t>
  </si>
  <si>
    <t>податки, збори (обов'язкові платежі)</t>
  </si>
  <si>
    <t>Прямі матеріальні витрати всього, у т.ч.:</t>
  </si>
  <si>
    <t xml:space="preserve">Прямі витрати з оплати праці </t>
  </si>
  <si>
    <t>амортизація  основних виробничих засобів, інших необоротних матеріальних і нематеріальних активів виробничого призначення</t>
  </si>
  <si>
    <t>грн./тис.куб.м.</t>
  </si>
  <si>
    <t>міс.</t>
  </si>
  <si>
    <t>Розрахунок витрат на спецодяг та спецвзуття</t>
  </si>
  <si>
    <t>грн/тн</t>
  </si>
  <si>
    <t xml:space="preserve">Опалення </t>
  </si>
  <si>
    <t>Відсоток витрат на власні потреби (розрахований як відношення до кількості теплової енергії виробленої)</t>
  </si>
  <si>
    <t xml:space="preserve">Витрати умовного палива </t>
  </si>
  <si>
    <t>Питома норма витрат умовного палива на 1 Гкал відпущену з власних джерел</t>
  </si>
  <si>
    <t>Всього витрат на охорону праці, у т.ч.:</t>
  </si>
  <si>
    <t>Водовідведення для технологічних потреб</t>
  </si>
  <si>
    <t>Чис-ть за штатним розписом</t>
  </si>
  <si>
    <t>Посадовий оклад/
Місячна тарифна ставка</t>
  </si>
  <si>
    <t>Норм. чис-ть</t>
  </si>
  <si>
    <t>Ціна на спецодяг: http://www.sk3000.com.ua/catalog/filter/1/90</t>
  </si>
  <si>
    <t>Виробн. та загальновироб. персонал</t>
  </si>
  <si>
    <t>Кількість мила на рік  (1 шт місяць на 1 чол.)</t>
  </si>
  <si>
    <t>Адміністр. персонал</t>
  </si>
  <si>
    <t>Кількість працюючих на підприємстві</t>
  </si>
  <si>
    <t xml:space="preserve">Кількість працюючих на підприємстві </t>
  </si>
  <si>
    <t>довідка КП "ЦОС Шевченківського району" від 30.04.2014</t>
  </si>
  <si>
    <t>довідка МВС Департамент. Матер. Забезпечення від 15.05.14</t>
  </si>
  <si>
    <t>Довідка СІЗО від 15.05.2014</t>
  </si>
  <si>
    <t xml:space="preserve">основна ЗП </t>
  </si>
  <si>
    <t>додаткова ЗП</t>
  </si>
  <si>
    <t>інші прямі витрати (ремонт)</t>
  </si>
  <si>
    <t>відрахування на соціальні заходи </t>
  </si>
  <si>
    <t>витрати на оплату праці </t>
  </si>
  <si>
    <t>інші витрати </t>
  </si>
  <si>
    <t>електроенергія на допоміжні потреби</t>
  </si>
  <si>
    <t>Паливо для технологічних потреб</t>
  </si>
  <si>
    <t>виконавець</t>
  </si>
  <si>
    <t>Договір на постач. газу від 09.10.2018 № 2636/18-ТЕ-17 з НАК "Нафтогаз України"</t>
  </si>
  <si>
    <t>Договір на постач. газу від 09.10.2018 №2638/18-БО-17 з НАК "Нафтогаз України"</t>
  </si>
  <si>
    <t>Договір на постач. газу від 09.10.2018 №2637/18-КП-17 з НАК "Нафтогаз України"</t>
  </si>
  <si>
    <t>собівартість 1 Гкал грн</t>
  </si>
  <si>
    <t>Од. виміру</t>
  </si>
  <si>
    <t>всього по підприємству</t>
  </si>
  <si>
    <t>струк- тура плано- вого тарифу, %</t>
  </si>
  <si>
    <t xml:space="preserve">План 2019 рік                </t>
  </si>
  <si>
    <t>Дані для розрахунку показників на 2019 рік</t>
  </si>
  <si>
    <t>акт за березень 2019 року</t>
  </si>
  <si>
    <t>інші заохоч. та компенсаційні виплати</t>
  </si>
  <si>
    <t>Співвідношення реактивної е/е до активної за березень 2019</t>
  </si>
  <si>
    <t>акт за серпень 2019 року</t>
  </si>
  <si>
    <t xml:space="preserve">      Матеріали, запчастини та інші матеріальні ресурси</t>
  </si>
  <si>
    <t xml:space="preserve">      Вода для технологічних потреб та водовідведення</t>
  </si>
  <si>
    <t xml:space="preserve">      Електроенергія для технологічних потреб</t>
  </si>
  <si>
    <t>Паливо</t>
  </si>
  <si>
    <t>відрахування на соціальні заходи</t>
  </si>
  <si>
    <t>розрахунок додається</t>
  </si>
  <si>
    <t>Реалізація теплової енергії власним споживачам</t>
  </si>
  <si>
    <t xml:space="preserve">    Інші прямі витрати</t>
  </si>
  <si>
    <t>Виконавець</t>
  </si>
  <si>
    <t>М.І.Матьяш</t>
  </si>
  <si>
    <t>Вартість реактивної електроенергії на технологічні потреби</t>
  </si>
  <si>
    <t>Додаток</t>
  </si>
  <si>
    <t xml:space="preserve">      Паливо</t>
  </si>
  <si>
    <t xml:space="preserve">      Прямі витрати на оплату праці</t>
  </si>
  <si>
    <t xml:space="preserve">      відрахування на соціальні заходи </t>
  </si>
  <si>
    <t xml:space="preserve">      амортизаційні відрахування</t>
  </si>
  <si>
    <t xml:space="preserve">      інші прямі витрати</t>
  </si>
  <si>
    <t xml:space="preserve">      витрати на оплату праці </t>
  </si>
  <si>
    <t xml:space="preserve">      інші витрати </t>
  </si>
  <si>
    <t>Обгрунтування</t>
  </si>
  <si>
    <t>Витрати на охорону праці адміністративного персоналу, у т.ч.:</t>
  </si>
  <si>
    <t>Розрахунок підприємства</t>
  </si>
  <si>
    <t>Заправлення вогнегасників</t>
  </si>
  <si>
    <t>грн</t>
  </si>
  <si>
    <t>Повна собівартість виробництва теплової енергії</t>
  </si>
  <si>
    <t>Повна собівартість транспортування теплової енергії</t>
  </si>
  <si>
    <t>Повна собівартість постачання теплової енергії</t>
  </si>
  <si>
    <t>Вартість електроенергії на виробництво теплоенергії  всього</t>
  </si>
  <si>
    <t xml:space="preserve">Вартість активної електроенергії на виробництво теплоенергії  </t>
  </si>
  <si>
    <t>витрати на послуги зв'язку та інтернет</t>
  </si>
  <si>
    <t>відрядження</t>
  </si>
  <si>
    <t xml:space="preserve">Витрати на медикаменти </t>
  </si>
  <si>
    <t xml:space="preserve">Заправлення вогнегасника </t>
  </si>
  <si>
    <t>За роботу у вечірній час</t>
  </si>
  <si>
    <t>За роботу у нічний час</t>
  </si>
  <si>
    <t xml:space="preserve">Середньомісячна норма робочого часу </t>
  </si>
  <si>
    <t>Середньомісячна кількість вечірних годин на одного працівника</t>
  </si>
  <si>
    <t>Середньомісячна кількість нічних годин на одного працівника</t>
  </si>
  <si>
    <t>За шкідливі умови праці 4%</t>
  </si>
  <si>
    <t>За роботу у святкові дні</t>
  </si>
  <si>
    <t>Середньомісячна кількість святкових годин на одного працівника</t>
  </si>
  <si>
    <t>Слюсар з ремонту устаткування котельних (5 розряд)</t>
  </si>
  <si>
    <t>Міжрозрядний тарифний коефіцієнт/Коефіцієнти керівників, професіоналів, фахівців та технічних службовців</t>
  </si>
  <si>
    <t>Електромонтер з ремонту та обслуговування електроустатування (5 розряд)</t>
  </si>
  <si>
    <t>Електрозварник ручного зварювання (6 розряд)</t>
  </si>
  <si>
    <t>За шкідливі умови праці 8%</t>
  </si>
  <si>
    <t>За шкідливі умови праці 12%</t>
  </si>
  <si>
    <t>За розширену зону обслуговування 30%</t>
  </si>
  <si>
    <t>За приготування хімреативів 15%</t>
  </si>
  <si>
    <t>Оператор котельні (2 розряд) в опалювальний період</t>
  </si>
  <si>
    <t>Апаратник хімводоочищення (2 розряд) в опалювальний період</t>
  </si>
  <si>
    <t>Прожитовий мінімум</t>
  </si>
  <si>
    <t>жовтень-листопад 2020</t>
  </si>
  <si>
    <t>грудень 2020 - вересень 2021</t>
  </si>
  <si>
    <t>середньозважений за 12 міс.</t>
  </si>
  <si>
    <t>Місячний фонд оплати праці</t>
  </si>
  <si>
    <t xml:space="preserve">Середньозважений рожитковий мінімум </t>
  </si>
  <si>
    <t>Річний фонд основної ЗП</t>
  </si>
  <si>
    <t>Річний фонд  оплати праці</t>
  </si>
  <si>
    <t>Річний фонд додаткової ЗП</t>
  </si>
  <si>
    <t>Інженер виробничого відділу</t>
  </si>
  <si>
    <t>Водій</t>
  </si>
  <si>
    <t>Штукатур (4 розряд)</t>
  </si>
  <si>
    <t>Сторож (в міжопалювальний період)</t>
  </si>
  <si>
    <t>За класність 10%</t>
  </si>
  <si>
    <t>За обслуговування та ремонт автомобілів 30%</t>
  </si>
  <si>
    <t>За збільшений обсяг робіт 30%</t>
  </si>
  <si>
    <t>Муляр 1 розряду (в міжопалювальний період)</t>
  </si>
  <si>
    <t>Директор</t>
  </si>
  <si>
    <t>Фахівець з публічних закупівель</t>
  </si>
  <si>
    <t>Інспетор з кадрів</t>
  </si>
  <si>
    <t>За ведення військового обліку та бронювання військовозобов'язаних 5%</t>
  </si>
  <si>
    <t>Розрахунок прямих витрат на оплату праці виробничого персоналу, задіяного у транспортуванні теплової енергії по КП "Звенигородське підприємство теплових мереж" Звенигородської міської ради</t>
  </si>
  <si>
    <t>Слюсар з обслуговування теплових мереж (5 розряд)</t>
  </si>
  <si>
    <t>Електрозварник ручного зварювання (5 розряд)</t>
  </si>
  <si>
    <t>Машиніст ескаватора (5 розряд)</t>
  </si>
  <si>
    <t>Юрист</t>
  </si>
  <si>
    <t>Марка та модель транспортного засобу</t>
  </si>
  <si>
    <t>Державний номер</t>
  </si>
  <si>
    <t>Рік вводу в експлуатацію</t>
  </si>
  <si>
    <t>Належність до виду діяльності</t>
  </si>
  <si>
    <t>Вид пального</t>
  </si>
  <si>
    <t>Нормативний документ, яким встановлено норми витрат пального</t>
  </si>
  <si>
    <t xml:space="preserve">Базова лінійна норма </t>
  </si>
  <si>
    <t>Коефіцієнти коригування норм витрат палива</t>
  </si>
  <si>
    <t>Скоригована норма витрат пального</t>
  </si>
  <si>
    <t>Пробіг, км</t>
  </si>
  <si>
    <t>Обсяг робіт</t>
  </si>
  <si>
    <t>л/100км</t>
  </si>
  <si>
    <t>л/одиницю робіт</t>
  </si>
  <si>
    <t>Назва коефіцієнту</t>
  </si>
  <si>
    <t>Од.виміру (м.-год., операція)</t>
  </si>
  <si>
    <t>Обсяг робіт, од.</t>
  </si>
  <si>
    <r>
      <t>Підстава (</t>
    </r>
    <r>
      <rPr>
        <b/>
        <u/>
        <sz val="8"/>
        <color indexed="8"/>
        <rFont val="Calibri"/>
        <family val="2"/>
        <charset val="204"/>
      </rPr>
      <t>вказати пункти нормативного документу</t>
    </r>
    <r>
      <rPr>
        <sz val="8"/>
        <color indexed="8"/>
        <rFont val="Calibri"/>
        <family val="2"/>
        <charset val="204"/>
      </rPr>
      <t>)</t>
    </r>
  </si>
  <si>
    <t>Адміністративного призначення</t>
  </si>
  <si>
    <t>А-95</t>
  </si>
  <si>
    <t>Транспортування т/е</t>
  </si>
  <si>
    <t>А-92</t>
  </si>
  <si>
    <t>ДП</t>
  </si>
  <si>
    <t>Виробництво т/е</t>
  </si>
  <si>
    <t>ГАЗ-93</t>
  </si>
  <si>
    <t>Газель</t>
  </si>
  <si>
    <t>Шевроле</t>
  </si>
  <si>
    <t>УАЗ-3303</t>
  </si>
  <si>
    <t>ГАЗ-3110</t>
  </si>
  <si>
    <t xml:space="preserve">  Вид  діяльності, в якому  задіяно транспортні засоби</t>
  </si>
  <si>
    <t>Вид  палива</t>
  </si>
  <si>
    <t>Всього витрат, грн.</t>
  </si>
  <si>
    <t>АІ-92</t>
  </si>
  <si>
    <t>АІ-95</t>
  </si>
  <si>
    <t>Кількість, л</t>
  </si>
  <si>
    <t>Ціна, грн./л (без ПДВ)</t>
  </si>
  <si>
    <t>Постачання  т/е</t>
  </si>
  <si>
    <t>Загальновиробничого призначення</t>
  </si>
  <si>
    <t>Разом витрат на паливно-мастильні матеріали, грн.</t>
  </si>
  <si>
    <t>Вид  мастила</t>
  </si>
  <si>
    <t>Моторне мастило</t>
  </si>
  <si>
    <t>Плановий обсяг витрат пального, л</t>
  </si>
  <si>
    <t>Нормативний документ, яким встановлено норми витрат мастила</t>
  </si>
  <si>
    <t>Норма витрат мастила</t>
  </si>
  <si>
    <t>Од.ви міру (км, м.-год)</t>
  </si>
  <si>
    <t>Обсяг, од.</t>
  </si>
  <si>
    <t>л/100л палива</t>
  </si>
  <si>
    <t>л/од. роботи</t>
  </si>
  <si>
    <t>ДБН В.2.8-12-2000</t>
  </si>
  <si>
    <t>Автомашина ГАЗ-93 3464чкр</t>
  </si>
  <si>
    <t>Автомобіль "УАЗ"</t>
  </si>
  <si>
    <t>Бульдозер Т-170 ДЗ-171</t>
  </si>
  <si>
    <t>Автомобіль КО - 413 33-07</t>
  </si>
  <si>
    <t>Бульдозер ДТ-75</t>
  </si>
  <si>
    <t>Екскаватор ЕО-2626</t>
  </si>
  <si>
    <t>Згідно даних про амортизацію</t>
  </si>
  <si>
    <t>За обслуговування автомобіля 20%</t>
  </si>
  <si>
    <t>За випуск автотранспорту на лінію 20%</t>
  </si>
  <si>
    <t>В т.ч. працівників з інвалідністю (4 оператора котельні, 2 апаратника хімводоочищення, слюсар з ремонту устаткування котельних)</t>
  </si>
  <si>
    <t>В т.ч. працівників з інвалідністю (директор, головний бухгалтер)</t>
  </si>
  <si>
    <t xml:space="preserve">Розрахунок витрат на холодну воду та  водовідведення
по КП "Звенигородське підприємство теплових мереж" Звенигородської міської ради </t>
  </si>
  <si>
    <t xml:space="preserve">Вода для загальновиробничих потреб </t>
  </si>
  <si>
    <t>жовтень 2019</t>
  </si>
  <si>
    <t>листопад 2019</t>
  </si>
  <si>
    <t>грудень 2019</t>
  </si>
  <si>
    <t>січень 2020</t>
  </si>
  <si>
    <t>лютий 2020</t>
  </si>
  <si>
    <t>березень 2020</t>
  </si>
  <si>
    <t>квітень 2020</t>
  </si>
  <si>
    <t>ккал/м3, 
ккал/кг </t>
  </si>
  <si>
    <t xml:space="preserve">Теплота згорання умовного палива </t>
  </si>
  <si>
    <t>Витрати на оплату послуги з транспортування природного газу</t>
  </si>
  <si>
    <t>Витрати на оплату послуги з розподілу природного газу</t>
  </si>
  <si>
    <t>Разом витрат на паливо</t>
  </si>
  <si>
    <t>Тариф на транспортування 1 тис.м.куб. природного газу</t>
  </si>
  <si>
    <t>Ціна</t>
  </si>
  <si>
    <t>Розрахунок витрат на паливо по КП "Звенигородське підприємство теплових мереж" Звенигородської міської ради</t>
  </si>
  <si>
    <t>середнє</t>
  </si>
  <si>
    <t xml:space="preserve">Розрахунок витрат на електроенергію по КП "Звенигородське підприємство теплових мереж" Звенигородської міської ради </t>
  </si>
  <si>
    <t>Відпущено теплової енергії у мережу</t>
  </si>
  <si>
    <t xml:space="preserve"> квт на 1 Гал</t>
  </si>
  <si>
    <t xml:space="preserve">Розрахунок прямих витрат на виробництво теплової енергії по                                                           КП "Звенигородське підприємство теплових мереж" Звенигородської міської ради 
</t>
  </si>
  <si>
    <t xml:space="preserve">Розрахунок прямих витрат на транспортування теплової енергії по                                                           КП "Звенигородське підприємство теплових мереж" Звенигородської міської ради 
  </t>
  </si>
  <si>
    <t xml:space="preserve">Розрахунок прямих витрат на постачання теплової енергії по                                                                    КП "Звенигородське підприємство теплових мереж" Звенигородської міської ради 
</t>
  </si>
  <si>
    <t>покриття втрат в мережах</t>
  </si>
  <si>
    <t>СА 4473АА</t>
  </si>
  <si>
    <t>х</t>
  </si>
  <si>
    <t xml:space="preserve"> наказ по підприємству №2 від 02.01.2020</t>
  </si>
  <si>
    <t>СА 9733 СМ</t>
  </si>
  <si>
    <t>3464 ЧКР</t>
  </si>
  <si>
    <t>СА 1037 АТ</t>
  </si>
  <si>
    <t>Газ скрап.</t>
  </si>
  <si>
    <t>СА 0968 EК</t>
  </si>
  <si>
    <t>Газ метан</t>
  </si>
  <si>
    <t>37214 СА</t>
  </si>
  <si>
    <t>Наказ Мінтрансу №43 від 10.02.1998</t>
  </si>
  <si>
    <t>СА9733СМ</t>
  </si>
  <si>
    <t>м-год.</t>
  </si>
  <si>
    <t>Трансмісійне мастило</t>
  </si>
  <si>
    <t>Солідол</t>
  </si>
  <si>
    <t>Сума, тис.грн.</t>
  </si>
  <si>
    <t>Газ сраплений</t>
  </si>
  <si>
    <t>Маляр 1 розряду (в міжопалювальний період)</t>
  </si>
  <si>
    <t>активна</t>
  </si>
  <si>
    <t>реактивна</t>
  </si>
  <si>
    <t>Витрати електроенергії на допоміжні потреби (освітлення виробничих приміщень, роботу механізмів, автоматики КСУМ)</t>
  </si>
  <si>
    <t>база розподілу ЗВВ та адмін. витрат між всіма видами діяльності пропорціійно заробітній платі основного виробничого персоналу персоналу</t>
  </si>
  <si>
    <t>кВт/г / Гкал</t>
  </si>
  <si>
    <t>В-во</t>
  </si>
  <si>
    <t>Трансп</t>
  </si>
  <si>
    <t>Пост</t>
  </si>
  <si>
    <t>ЗВВ</t>
  </si>
  <si>
    <t>АДМІН</t>
  </si>
  <si>
    <t>Обсяг</t>
  </si>
  <si>
    <t>Витрати електроенергії  (освітлення приміщеня адмінбудину, робота орг. техніки)</t>
  </si>
  <si>
    <t>Середній тариф на активну електроенергію</t>
  </si>
  <si>
    <t>Середній тариф на реактивну електроенергію</t>
  </si>
  <si>
    <t>Включено до питомої норми витрат електроенергії</t>
  </si>
  <si>
    <t>Розрахунок прямих витрат на оплату праці виробничого персоналу (прямі витрати), задіяного у виробництві теплової енергії по КП "Звенигородське підприємство теплових мереж" Звенигородської міської ради</t>
  </si>
  <si>
    <t>Розрахунок прямих витрат на оплату праці персоналу, задіяний у наданні послуг з абонентського обслуговування, по КП "Звенигородське підприємство теплових мереж" Звенигородської міської ради</t>
  </si>
  <si>
    <t>Бухгалтер по розрахунках з населенням</t>
  </si>
  <si>
    <t>Розрахунок прямих витрат на оплату праці персоналу, пов'язаного  із  встановленням, обслуговуванням та заміною вузлів комерційного обліку, по КП "Звенигородське підприємство теплових мереж" Звенигородської міської ради</t>
  </si>
  <si>
    <t>Розрахунок прямих витрат на оплату праці персоналу, задіяного у постачанні теплової енергії, по КП "Звенигородське підприємство теплових мереж" Звенигородської міської ради</t>
  </si>
  <si>
    <t>Прибиральник службових приміщень</t>
  </si>
  <si>
    <t>Контролер</t>
  </si>
  <si>
    <t>Заступник директора по технічних питаннях</t>
  </si>
  <si>
    <t>Інженер з охорони праці та техніки безпеки</t>
  </si>
  <si>
    <t>Майстер виробничої дільниці</t>
  </si>
  <si>
    <t>Майстер дільниці</t>
  </si>
  <si>
    <t>послуга з абонентського обслуговування</t>
  </si>
  <si>
    <t>послуга з техніч.обслуговвування внутрішньобудин. систем опалення</t>
  </si>
  <si>
    <t>база розподілу загальновиробничих та адміністративних витрат між всіма видами діяльності пропорційно заробтній платі основного виробничого персоналу</t>
  </si>
  <si>
    <t>база розподілу загальновиробничих витрат між В, Т, П ТЕ пропорційно прямим витратам</t>
  </si>
  <si>
    <t>база розподілу адміністративних витрат між В, Т, П ТЕ пропорційно виробничій собівартості</t>
  </si>
  <si>
    <t>Разом</t>
  </si>
  <si>
    <t>Разом витрат, тис.грн.</t>
  </si>
  <si>
    <t>тис.грн</t>
  </si>
  <si>
    <t xml:space="preserve"> </t>
  </si>
  <si>
    <t>Середній тариф на послугу з розподілу природного газу</t>
  </si>
  <si>
    <t xml:space="preserve">Середня ціна 1 тис.м.куб. природного газу </t>
  </si>
  <si>
    <t>База розподілу загальновиробничих витрат між В, Т, П ТЕ пропорційно прямим витратам</t>
  </si>
  <si>
    <t>база розподілу ЗВВ та адмін. витрат між всіма видами діяльності пропорціійно чисельності основного виробничого персоналу</t>
  </si>
  <si>
    <t xml:space="preserve"> встановлення, обслуговування та заміна вузлів комерційного обліку</t>
  </si>
  <si>
    <t xml:space="preserve">Витрати природного газу </t>
  </si>
  <si>
    <t>розподіл витрат між групами споживачів пропорційно обсягу реалізації</t>
  </si>
  <si>
    <t xml:space="preserve">Розрахунок амортизаційних відрахувань по КП "Звенигородське підприємство теплових мереж" Звенигородської міської ради </t>
  </si>
  <si>
    <t>База розподілу загальновиробничих витрат між В, Т, П ТЕ</t>
  </si>
  <si>
    <t xml:space="preserve">Розрахунок загальновиробничих витрат по КП "Звенигородське підприємство теплових мереж" Звенигородської міської ради </t>
  </si>
  <si>
    <t xml:space="preserve">Розрахунок адміністративних витрат по КП "Звенигородське підприємство теплових мереж" Звенигородської міської ради </t>
  </si>
  <si>
    <t>База розподілу адміністративних витрат між В, Т, П ТЕ пропорційно прями витратам</t>
  </si>
  <si>
    <t>база розподілу адміністративних витрат між всіма видами діяльності пропорціійно заробітній платі основного виробничого персоналу</t>
  </si>
  <si>
    <t>база розподілу загальновиробничих витрат між всіма видами діяльності пропорціійно заробітній платі основного виробничого персоналу</t>
  </si>
  <si>
    <t xml:space="preserve">Розрахунок планових витрат на виробництво теплової енергії по                                                                                              КП "Звенигородське підприємство теплових мереж" Звенигородської міської ради 
 </t>
  </si>
  <si>
    <t xml:space="preserve">Повна собівартість транспортування теплової енергії по КП "Звенигородське підприємство теплових мереж" Звенигородської міської ради 
</t>
  </si>
  <si>
    <t xml:space="preserve">Повна собівартість постачання теплової енергії по КП "Звенигородське підприємство теплових мереж" Звенигородської міської ради 
 </t>
  </si>
  <si>
    <t xml:space="preserve">Річний обсяг відпуску теплової енергії з колекторів у теплові мережі </t>
  </si>
  <si>
    <t>матеріали, запасні частини та інші матеріальні ресурси (витрати на паливно-мастильні матеріали)</t>
  </si>
  <si>
    <t>розрахунок підприємства додається</t>
  </si>
  <si>
    <t>охорона приміщення</t>
  </si>
  <si>
    <t>витрати на паливно-мастильні матеріали</t>
  </si>
  <si>
    <t>витрати на запчастини</t>
  </si>
  <si>
    <t>канцелярські товари</t>
  </si>
  <si>
    <t>паливно-мастильні матеріали</t>
  </si>
  <si>
    <t>запасні частини</t>
  </si>
  <si>
    <t>база розподілу витрат між групами споживачів пропорційно обсягу</t>
  </si>
  <si>
    <t>обслуговування РРО</t>
  </si>
  <si>
    <t>обслуговування програмного забезпечення 1С</t>
  </si>
  <si>
    <t>договір з ТОВ "Дельта-2016"</t>
  </si>
  <si>
    <t>договір з ФОП Буряк О.О.</t>
  </si>
  <si>
    <t>витрати на електроенергію</t>
  </si>
  <si>
    <t>Витрати на оплату праці</t>
  </si>
  <si>
    <t>Відрахування на соціальні заходи</t>
  </si>
</sst>
</file>

<file path=xl/styles.xml><?xml version="1.0" encoding="utf-8"?>
<styleSheet xmlns="http://schemas.openxmlformats.org/spreadsheetml/2006/main">
  <numFmts count="17">
    <numFmt numFmtId="164" formatCode="_-* #,##0.00\ &quot;грн.&quot;_-;\-* #,##0.00\ &quot;грн.&quot;_-;_-* &quot;-&quot;??\ &quot;грн.&quot;_-;_-@_-"/>
    <numFmt numFmtId="165" formatCode="0.0000"/>
    <numFmt numFmtId="166" formatCode="0.000"/>
    <numFmt numFmtId="167" formatCode="0.0"/>
    <numFmt numFmtId="168" formatCode="0.0%"/>
    <numFmt numFmtId="169" formatCode="#,##0.000"/>
    <numFmt numFmtId="170" formatCode="#,##0.00000"/>
    <numFmt numFmtId="171" formatCode="0.000000"/>
    <numFmt numFmtId="172" formatCode="#,##0.0"/>
    <numFmt numFmtId="173" formatCode="_-* #,##0.00\ _г_р_н_._-;\-* #,##0.00\ _г_р_н_._-;_-* \-??\ _г_р_н_._-;_-@_-"/>
    <numFmt numFmtId="174" formatCode="_(* #,##0.00_);_(* \(#,##0.00\);_(* \-??_);_(@_)"/>
    <numFmt numFmtId="175" formatCode="0.000%"/>
    <numFmt numFmtId="176" formatCode="#,##0.0000"/>
    <numFmt numFmtId="177" formatCode="#,##0.000000"/>
    <numFmt numFmtId="178" formatCode="0.0000000"/>
    <numFmt numFmtId="179" formatCode="0.00000"/>
    <numFmt numFmtId="180" formatCode="0.0000%"/>
  </numFmts>
  <fonts count="14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20"/>
      <name val="Arial Cyr"/>
      <family val="2"/>
      <charset val="204"/>
    </font>
    <font>
      <sz val="10"/>
      <name val="Arial Cyr"/>
      <family val="2"/>
      <charset val="204"/>
    </font>
    <font>
      <sz val="18"/>
      <name val="Arial Cyr"/>
      <family val="2"/>
      <charset val="204"/>
    </font>
    <font>
      <b/>
      <sz val="10"/>
      <name val="Arial"/>
      <family val="2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4"/>
      <name val="Arial"/>
      <family val="2"/>
    </font>
    <font>
      <sz val="10"/>
      <name val="Arial"/>
      <family val="2"/>
    </font>
    <font>
      <b/>
      <i/>
      <sz val="10"/>
      <color indexed="12"/>
      <name val="Arial Cyr"/>
      <family val="2"/>
      <charset val="204"/>
    </font>
    <font>
      <sz val="11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name val="Arial"/>
      <family val="2"/>
      <charset val="204"/>
    </font>
    <font>
      <sz val="9"/>
      <color indexed="10"/>
      <name val="Arial Cyr"/>
      <family val="2"/>
      <charset val="204"/>
    </font>
    <font>
      <b/>
      <sz val="12"/>
      <name val="Arial CE"/>
      <family val="2"/>
      <charset val="238"/>
    </font>
    <font>
      <sz val="9"/>
      <name val="Arial Cyr"/>
      <family val="2"/>
      <charset val="204"/>
    </font>
    <font>
      <i/>
      <sz val="10"/>
      <name val="Arial Cyr"/>
      <charset val="204"/>
    </font>
    <font>
      <sz val="10"/>
      <color indexed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9"/>
      <color indexed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 Cyr"/>
      <family val="2"/>
      <charset val="204"/>
    </font>
    <font>
      <sz val="11"/>
      <color indexed="10"/>
      <name val="Arial Cyr"/>
      <family val="2"/>
      <charset val="204"/>
    </font>
    <font>
      <sz val="11"/>
      <name val="Arial Cyr"/>
      <charset val="204"/>
    </font>
    <font>
      <i/>
      <sz val="11"/>
      <name val="Arial Cyr"/>
      <family val="2"/>
      <charset val="204"/>
    </font>
    <font>
      <b/>
      <i/>
      <sz val="11"/>
      <name val="Arial Cyr"/>
      <family val="2"/>
      <charset val="204"/>
    </font>
    <font>
      <b/>
      <sz val="11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sz val="10"/>
      <name val="Arial"/>
      <family val="2"/>
    </font>
    <font>
      <b/>
      <vertAlign val="superscript"/>
      <sz val="10"/>
      <name val="Arial CYR"/>
      <family val="2"/>
      <charset val="204"/>
    </font>
    <font>
      <sz val="11"/>
      <name val="Arial"/>
      <family val="2"/>
    </font>
    <font>
      <b/>
      <sz val="11"/>
      <name val="Arial"/>
      <family val="2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Arial Cyr"/>
      <family val="2"/>
      <charset val="204"/>
    </font>
    <font>
      <b/>
      <sz val="13"/>
      <name val="Arial"/>
      <family val="2"/>
    </font>
    <font>
      <sz val="11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10"/>
      <name val="Arial"/>
      <family val="2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4"/>
      <color indexed="10"/>
      <name val="Arial Cyr"/>
      <charset val="204"/>
    </font>
    <font>
      <sz val="11"/>
      <color indexed="8"/>
      <name val="Calibri"/>
      <family val="2"/>
    </font>
    <font>
      <sz val="11"/>
      <color indexed="9"/>
      <name val="Arial Cyr"/>
      <family val="2"/>
      <charset val="204"/>
    </font>
    <font>
      <sz val="9"/>
      <color indexed="9"/>
      <name val="Arial Cyr"/>
      <charset val="204"/>
    </font>
    <font>
      <sz val="12"/>
      <color indexed="10"/>
      <name val="Arial Cyr"/>
      <family val="2"/>
      <charset val="204"/>
    </font>
    <font>
      <b/>
      <sz val="12"/>
      <color indexed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1"/>
    </font>
    <font>
      <sz val="10"/>
      <name val="Arial Cyr"/>
      <charset val="1"/>
    </font>
    <font>
      <b/>
      <sz val="12"/>
      <color indexed="8"/>
      <name val="Times New Roman"/>
      <family val="1"/>
      <charset val="204"/>
    </font>
    <font>
      <sz val="9"/>
      <color indexed="11"/>
      <name val="Arial Cyr"/>
      <family val="2"/>
      <charset val="204"/>
    </font>
    <font>
      <sz val="16"/>
      <color indexed="10"/>
      <name val="Arial Cyr"/>
      <family val="2"/>
      <charset val="204"/>
    </font>
    <font>
      <sz val="16"/>
      <name val="Arial Cyr"/>
      <family val="2"/>
      <charset val="204"/>
    </font>
    <font>
      <sz val="16"/>
      <color indexed="11"/>
      <name val="Arial Cyr"/>
      <family val="2"/>
      <charset val="204"/>
    </font>
    <font>
      <b/>
      <sz val="9"/>
      <color indexed="10"/>
      <name val="Arial Cyr"/>
      <charset val="1"/>
    </font>
    <font>
      <b/>
      <sz val="10"/>
      <color indexed="9"/>
      <name val="Arial Cyr"/>
      <charset val="204"/>
    </font>
    <font>
      <b/>
      <sz val="10"/>
      <color indexed="9"/>
      <name val="Arial Cyr"/>
      <family val="2"/>
      <charset val="204"/>
    </font>
    <font>
      <sz val="10"/>
      <color indexed="9"/>
      <name val="Arial Cyr"/>
      <family val="2"/>
      <charset val="204"/>
    </font>
    <font>
      <sz val="9"/>
      <color indexed="9"/>
      <name val="Arial Cyr"/>
      <family val="2"/>
      <charset val="204"/>
    </font>
    <font>
      <sz val="12"/>
      <color indexed="9"/>
      <name val="Times New Roman"/>
      <family val="1"/>
      <charset val="204"/>
    </font>
    <font>
      <b/>
      <sz val="13"/>
      <color indexed="10"/>
      <name val="Arial"/>
      <family val="2"/>
    </font>
    <font>
      <b/>
      <i/>
      <sz val="12"/>
      <name val="Arial Cyr"/>
      <family val="2"/>
      <charset val="204"/>
    </font>
    <font>
      <sz val="11"/>
      <color indexed="10"/>
      <name val="Arial Cyr"/>
      <family val="2"/>
      <charset val="204"/>
    </font>
    <font>
      <sz val="10"/>
      <color indexed="10"/>
      <name val="Arial Cyr"/>
      <charset val="204"/>
    </font>
    <font>
      <sz val="10"/>
      <color indexed="9"/>
      <name val="Arial Cyr"/>
      <charset val="204"/>
    </font>
    <font>
      <sz val="10"/>
      <color indexed="10"/>
      <name val="Arial Cyr"/>
      <family val="2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10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0"/>
      <color indexed="36"/>
      <name val="Arial Cyr"/>
      <family val="2"/>
      <charset val="204"/>
    </font>
    <font>
      <sz val="11"/>
      <color indexed="10"/>
      <name val="Arial Cyr"/>
      <charset val="204"/>
    </font>
    <font>
      <sz val="12"/>
      <color indexed="9"/>
      <name val="Arial Cyr"/>
      <charset val="204"/>
    </font>
    <font>
      <sz val="14"/>
      <color indexed="9"/>
      <name val="Arial Cyr"/>
      <charset val="204"/>
    </font>
    <font>
      <i/>
      <sz val="12"/>
      <name val="Arial Cyr"/>
      <charset val="204"/>
    </font>
    <font>
      <sz val="11"/>
      <name val="Arial Cyr"/>
      <charset val="1"/>
    </font>
    <font>
      <b/>
      <sz val="11"/>
      <name val="Arial Cyr"/>
      <charset val="1"/>
    </font>
    <font>
      <i/>
      <sz val="12"/>
      <name val="Arial"/>
      <family val="2"/>
      <charset val="204"/>
    </font>
    <font>
      <b/>
      <i/>
      <sz val="12"/>
      <color indexed="8"/>
      <name val="Calibri"/>
      <family val="2"/>
      <charset val="204"/>
    </font>
    <font>
      <sz val="7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u/>
      <sz val="8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b/>
      <i/>
      <sz val="10"/>
      <color indexed="8"/>
      <name val="Calibri"/>
      <family val="2"/>
      <charset val="204"/>
    </font>
    <font>
      <b/>
      <i/>
      <sz val="8"/>
      <color indexed="8"/>
      <name val="Calibri"/>
      <family val="2"/>
      <charset val="204"/>
    </font>
    <font>
      <b/>
      <sz val="13"/>
      <name val="Arial Cyr"/>
      <charset val="204"/>
    </font>
    <font>
      <b/>
      <i/>
      <sz val="12"/>
      <name val="Arial Cyr"/>
      <charset val="204"/>
    </font>
    <font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3"/>
      <name val="Arial Cyr"/>
      <charset val="204"/>
    </font>
    <font>
      <b/>
      <i/>
      <sz val="11"/>
      <name val="Arial Cyr"/>
      <charset val="204"/>
    </font>
    <font>
      <b/>
      <sz val="12"/>
      <name val="Arial"/>
      <family val="2"/>
    </font>
    <font>
      <b/>
      <sz val="14"/>
      <color indexed="10"/>
      <name val="Arial Cyr"/>
      <charset val="204"/>
    </font>
    <font>
      <b/>
      <sz val="10"/>
      <color indexed="10"/>
      <name val="Arial Cyr"/>
      <charset val="204"/>
    </font>
    <font>
      <sz val="9"/>
      <name val="Times New Roman"/>
      <family val="1"/>
      <charset val="204"/>
    </font>
    <font>
      <sz val="16"/>
      <name val="Arial"/>
      <family val="2"/>
      <charset val="204"/>
    </font>
    <font>
      <b/>
      <sz val="12"/>
      <color indexed="6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2"/>
      <color indexed="10"/>
      <name val="Arial Cyr"/>
      <charset val="204"/>
    </font>
    <font>
      <b/>
      <sz val="11"/>
      <name val="Times New Roman"/>
      <family val="1"/>
      <charset val="204"/>
    </font>
    <font>
      <sz val="9"/>
      <name val="Arial Cyr"/>
      <charset val="204"/>
    </font>
    <font>
      <sz val="10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46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27"/>
      </patternFill>
    </fill>
    <fill>
      <patternFill patternType="lightGray">
        <fgColor indexed="9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lightGray">
        <fgColor indexed="9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</fills>
  <borders count="8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2" borderId="0" applyNumberFormat="0" applyBorder="0" applyAlignment="0" applyProtection="0"/>
    <xf numFmtId="0" fontId="33" fillId="5" borderId="0" applyNumberFormat="0" applyBorder="0" applyAlignment="0" applyProtection="0"/>
    <xf numFmtId="0" fontId="33" fillId="3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3" borderId="0" applyNumberFormat="0" applyBorder="0" applyAlignment="0" applyProtection="0"/>
    <xf numFmtId="0" fontId="34" fillId="10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6" borderId="0" applyNumberFormat="0" applyBorder="0" applyAlignment="0" applyProtection="0"/>
    <xf numFmtId="0" fontId="34" fillId="10" borderId="0" applyNumberFormat="0" applyBorder="0" applyAlignment="0" applyProtection="0"/>
    <xf numFmtId="0" fontId="34" fillId="3" borderId="0" applyNumberFormat="0" applyBorder="0" applyAlignment="0" applyProtection="0"/>
    <xf numFmtId="173" fontId="4" fillId="0" borderId="0" applyFill="0" applyBorder="0" applyAlignment="0" applyProtection="0"/>
    <xf numFmtId="0" fontId="33" fillId="0" borderId="0"/>
    <xf numFmtId="0" fontId="1" fillId="0" borderId="0"/>
    <xf numFmtId="0" fontId="4" fillId="0" borderId="0"/>
    <xf numFmtId="0" fontId="21" fillId="0" borderId="0">
      <alignment horizontal="centerContinuous"/>
    </xf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9" fontId="4" fillId="0" borderId="0" applyFill="0" applyBorder="0" applyAlignment="0" applyProtection="0"/>
    <xf numFmtId="9" fontId="15" fillId="0" borderId="0" applyFont="0" applyFill="0" applyBorder="0" applyAlignment="0" applyProtection="0"/>
    <xf numFmtId="0" fontId="38" fillId="2" borderId="2" applyNumberFormat="0" applyAlignment="0" applyProtection="0"/>
    <xf numFmtId="0" fontId="35" fillId="2" borderId="1" applyNumberFormat="0" applyAlignment="0" applyProtection="0"/>
    <xf numFmtId="0" fontId="4" fillId="0" borderId="0"/>
    <xf numFmtId="0" fontId="33" fillId="0" borderId="0"/>
    <xf numFmtId="0" fontId="72" fillId="0" borderId="0"/>
    <xf numFmtId="0" fontId="36" fillId="0" borderId="3" applyNumberFormat="0" applyFill="0" applyAlignment="0" applyProtection="0"/>
    <xf numFmtId="0" fontId="39" fillId="8" borderId="0" applyNumberFormat="0" applyBorder="0" applyAlignment="0" applyProtection="0"/>
    <xf numFmtId="0" fontId="19" fillId="0" borderId="0"/>
    <xf numFmtId="0" fontId="1" fillId="0" borderId="0"/>
    <xf numFmtId="0" fontId="140" fillId="0" borderId="0"/>
    <xf numFmtId="0" fontId="4" fillId="0" borderId="0"/>
    <xf numFmtId="0" fontId="19" fillId="0" borderId="0"/>
    <xf numFmtId="0" fontId="19" fillId="0" borderId="0"/>
    <xf numFmtId="0" fontId="4" fillId="0" borderId="0"/>
    <xf numFmtId="0" fontId="37" fillId="15" borderId="0" applyNumberFormat="0" applyBorder="0" applyAlignment="0" applyProtection="0"/>
    <xf numFmtId="0" fontId="40" fillId="0" borderId="0" applyNumberFormat="0" applyFill="0" applyBorder="0" applyAlignment="0" applyProtection="0"/>
    <xf numFmtId="0" fontId="4" fillId="4" borderId="4" applyNumberFormat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ill="0" applyBorder="0" applyAlignment="0" applyProtection="0"/>
    <xf numFmtId="174" fontId="4" fillId="0" borderId="0" applyFill="0" applyBorder="0" applyAlignment="0" applyProtection="0"/>
    <xf numFmtId="173" fontId="4" fillId="0" borderId="0" applyFill="0" applyBorder="0" applyAlignment="0" applyProtection="0"/>
  </cellStyleXfs>
  <cellXfs count="173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2" fontId="0" fillId="0" borderId="0" xfId="0" applyNumberFormat="1"/>
    <xf numFmtId="0" fontId="4" fillId="0" borderId="0" xfId="0" applyFont="1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/>
    <xf numFmtId="2" fontId="0" fillId="0" borderId="0" xfId="0" applyNumberForma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/>
    <xf numFmtId="0" fontId="0" fillId="0" borderId="0" xfId="0" applyFill="1" applyBorder="1" applyAlignment="1"/>
    <xf numFmtId="0" fontId="10" fillId="0" borderId="0" xfId="0" applyFont="1"/>
    <xf numFmtId="4" fontId="0" fillId="0" borderId="0" xfId="0" applyNumberFormat="1"/>
    <xf numFmtId="4" fontId="0" fillId="0" borderId="0" xfId="0" applyNumberFormat="1" applyFill="1" applyBorder="1"/>
    <xf numFmtId="164" fontId="5" fillId="0" borderId="0" xfId="0" applyNumberFormat="1" applyFont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Border="1"/>
    <xf numFmtId="4" fontId="0" fillId="0" borderId="0" xfId="0" applyNumberFormat="1" applyFill="1"/>
    <xf numFmtId="0" fontId="4" fillId="0" borderId="0" xfId="0" applyFont="1" applyAlignment="1"/>
    <xf numFmtId="0" fontId="2" fillId="0" borderId="0" xfId="0" applyFont="1" applyBorder="1" applyAlignment="1">
      <alignment horizontal="center"/>
    </xf>
    <xf numFmtId="0" fontId="4" fillId="0" borderId="0" xfId="0" applyFont="1" applyFill="1"/>
    <xf numFmtId="0" fontId="2" fillId="0" borderId="0" xfId="0" applyFont="1" applyBorder="1" applyAlignment="1">
      <alignment horizontal="center" wrapText="1"/>
    </xf>
    <xf numFmtId="2" fontId="4" fillId="0" borderId="0" xfId="0" applyNumberFormat="1" applyFont="1" applyFill="1" applyBorder="1"/>
    <xf numFmtId="2" fontId="2" fillId="0" borderId="0" xfId="0" applyNumberFormat="1" applyFont="1" applyFill="1" applyBorder="1"/>
    <xf numFmtId="0" fontId="2" fillId="16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justify" indent="1"/>
    </xf>
    <xf numFmtId="2" fontId="2" fillId="0" borderId="0" xfId="0" applyNumberFormat="1" applyFont="1"/>
    <xf numFmtId="2" fontId="4" fillId="0" borderId="0" xfId="0" applyNumberFormat="1" applyFont="1"/>
    <xf numFmtId="0" fontId="4" fillId="0" borderId="0" xfId="0" applyFont="1" applyFill="1" applyBorder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0" fontId="2" fillId="0" borderId="0" xfId="0" applyFont="1" applyFill="1"/>
    <xf numFmtId="2" fontId="4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center"/>
    </xf>
    <xf numFmtId="9" fontId="4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16" fillId="0" borderId="0" xfId="0" applyFont="1" applyBorder="1"/>
    <xf numFmtId="2" fontId="20" fillId="0" borderId="0" xfId="0" applyNumberFormat="1" applyFont="1"/>
    <xf numFmtId="0" fontId="16" fillId="0" borderId="0" xfId="0" applyFont="1"/>
    <xf numFmtId="0" fontId="16" fillId="0" borderId="0" xfId="0" applyFont="1" applyFill="1"/>
    <xf numFmtId="2" fontId="20" fillId="0" borderId="0" xfId="0" applyNumberFormat="1" applyFont="1" applyFill="1" applyAlignment="1">
      <alignment horizontal="right"/>
    </xf>
    <xf numFmtId="164" fontId="20" fillId="0" borderId="0" xfId="0" applyNumberFormat="1" applyFont="1" applyAlignment="1">
      <alignment horizontal="center" wrapText="1"/>
    </xf>
    <xf numFmtId="0" fontId="20" fillId="0" borderId="0" xfId="0" applyFont="1"/>
    <xf numFmtId="2" fontId="2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justify" wrapText="1" indent="1"/>
    </xf>
    <xf numFmtId="0" fontId="16" fillId="0" borderId="0" xfId="0" applyFont="1" applyFill="1" applyBorder="1"/>
    <xf numFmtId="0" fontId="16" fillId="0" borderId="0" xfId="0" applyFont="1" applyFill="1" applyBorder="1" applyAlignment="1">
      <alignment wrapText="1"/>
    </xf>
    <xf numFmtId="4" fontId="20" fillId="0" borderId="0" xfId="0" applyNumberFormat="1" applyFont="1" applyAlignment="1">
      <alignment horizontal="right"/>
    </xf>
    <xf numFmtId="0" fontId="22" fillId="0" borderId="0" xfId="0" applyFont="1" applyFill="1"/>
    <xf numFmtId="0" fontId="22" fillId="0" borderId="0" xfId="0" applyFont="1"/>
    <xf numFmtId="0" fontId="20" fillId="0" borderId="0" xfId="0" applyFont="1" applyFill="1" applyBorder="1"/>
    <xf numFmtId="9" fontId="2" fillId="0" borderId="0" xfId="0" applyNumberFormat="1" applyFont="1"/>
    <xf numFmtId="0" fontId="1" fillId="0" borderId="0" xfId="0" applyFont="1" applyAlignment="1">
      <alignment horizontal="left"/>
    </xf>
    <xf numFmtId="0" fontId="25" fillId="0" borderId="0" xfId="0" applyFont="1" applyBorder="1" applyAlignment="1">
      <alignment vertical="top" wrapText="1"/>
    </xf>
    <xf numFmtId="0" fontId="25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wrapText="1"/>
    </xf>
    <xf numFmtId="167" fontId="25" fillId="0" borderId="0" xfId="0" applyNumberFormat="1" applyFont="1" applyBorder="1" applyAlignment="1">
      <alignment horizontal="center" vertical="top" wrapText="1"/>
    </xf>
    <xf numFmtId="9" fontId="2" fillId="0" borderId="0" xfId="49" applyFont="1" applyFill="1" applyAlignment="1">
      <alignment horizontal="left"/>
    </xf>
    <xf numFmtId="0" fontId="2" fillId="0" borderId="0" xfId="0" applyFont="1" applyBorder="1" applyAlignment="1">
      <alignment horizontal="center" vertical="justify"/>
    </xf>
    <xf numFmtId="0" fontId="10" fillId="0" borderId="0" xfId="0" applyFont="1" applyFill="1" applyBorder="1" applyAlignment="1"/>
    <xf numFmtId="2" fontId="32" fillId="0" borderId="0" xfId="0" applyNumberFormat="1" applyFont="1" applyFill="1"/>
    <xf numFmtId="171" fontId="18" fillId="0" borderId="0" xfId="45" applyNumberFormat="1" applyFont="1"/>
    <xf numFmtId="0" fontId="4" fillId="0" borderId="0" xfId="45" applyFont="1"/>
    <xf numFmtId="0" fontId="2" fillId="0" borderId="0" xfId="45" applyFont="1"/>
    <xf numFmtId="0" fontId="4" fillId="0" borderId="0" xfId="45" applyFont="1" applyFill="1"/>
    <xf numFmtId="0" fontId="4" fillId="0" borderId="0" xfId="45" applyFont="1" applyAlignment="1">
      <alignment horizontal="center"/>
    </xf>
    <xf numFmtId="0" fontId="22" fillId="0" borderId="0" xfId="45" applyFont="1"/>
    <xf numFmtId="0" fontId="16" fillId="0" borderId="0" xfId="45" applyFont="1"/>
    <xf numFmtId="2" fontId="16" fillId="0" borderId="0" xfId="45" applyNumberFormat="1" applyFont="1"/>
    <xf numFmtId="2" fontId="1" fillId="0" borderId="0" xfId="45" applyNumberFormat="1" applyFont="1"/>
    <xf numFmtId="0" fontId="1" fillId="0" borderId="0" xfId="45" applyFont="1"/>
    <xf numFmtId="10" fontId="28" fillId="0" borderId="0" xfId="49" applyNumberFormat="1" applyFont="1" applyFill="1"/>
    <xf numFmtId="10" fontId="0" fillId="0" borderId="0" xfId="49" applyNumberFormat="1" applyFont="1"/>
    <xf numFmtId="2" fontId="0" fillId="0" borderId="0" xfId="0" applyNumberFormat="1" applyFill="1" applyBorder="1" applyAlignment="1"/>
    <xf numFmtId="0" fontId="47" fillId="0" borderId="0" xfId="0" applyFont="1"/>
    <xf numFmtId="4" fontId="62" fillId="0" borderId="0" xfId="0" applyNumberFormat="1" applyFont="1" applyFill="1" applyBorder="1"/>
    <xf numFmtId="0" fontId="28" fillId="0" borderId="0" xfId="0" applyFont="1"/>
    <xf numFmtId="2" fontId="4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14" fillId="0" borderId="0" xfId="0" applyFont="1" applyBorder="1"/>
    <xf numFmtId="0" fontId="14" fillId="0" borderId="0" xfId="0" applyFont="1"/>
    <xf numFmtId="0" fontId="14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2" fontId="10" fillId="0" borderId="0" xfId="0" applyNumberFormat="1" applyFont="1"/>
    <xf numFmtId="0" fontId="16" fillId="0" borderId="0" xfId="0" applyFont="1" applyAlignment="1">
      <alignment horizontal="left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Fill="1" applyAlignment="1">
      <alignment wrapText="1"/>
    </xf>
    <xf numFmtId="0" fontId="0" fillId="0" borderId="0" xfId="0" applyFont="1"/>
    <xf numFmtId="0" fontId="58" fillId="0" borderId="0" xfId="0" applyFont="1" applyAlignment="1">
      <alignment horizontal="right"/>
    </xf>
    <xf numFmtId="0" fontId="25" fillId="0" borderId="0" xfId="0" applyFont="1"/>
    <xf numFmtId="0" fontId="58" fillId="0" borderId="0" xfId="0" applyFont="1"/>
    <xf numFmtId="0" fontId="0" fillId="0" borderId="6" xfId="0" applyBorder="1"/>
    <xf numFmtId="0" fontId="2" fillId="0" borderId="6" xfId="0" applyFont="1" applyFill="1" applyBorder="1" applyAlignment="1">
      <alignment wrapText="1"/>
    </xf>
    <xf numFmtId="0" fontId="12" fillId="0" borderId="6" xfId="0" applyFont="1" applyFill="1" applyBorder="1" applyAlignment="1">
      <alignment vertical="center"/>
    </xf>
    <xf numFmtId="0" fontId="4" fillId="0" borderId="6" xfId="0" applyFont="1" applyBorder="1" applyAlignment="1"/>
    <xf numFmtId="2" fontId="42" fillId="0" borderId="6" xfId="0" applyNumberFormat="1" applyFont="1" applyFill="1" applyBorder="1" applyAlignment="1">
      <alignment horizontal="right"/>
    </xf>
    <xf numFmtId="0" fontId="42" fillId="16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5" fillId="0" borderId="0" xfId="0" applyFont="1" applyBorder="1"/>
    <xf numFmtId="0" fontId="65" fillId="0" borderId="6" xfId="0" applyFont="1" applyBorder="1" applyAlignment="1">
      <alignment horizontal="center"/>
    </xf>
    <xf numFmtId="0" fontId="58" fillId="0" borderId="6" xfId="0" applyFont="1" applyBorder="1" applyAlignment="1">
      <alignment horizontal="center"/>
    </xf>
    <xf numFmtId="0" fontId="58" fillId="0" borderId="6" xfId="0" applyFont="1" applyFill="1" applyBorder="1" applyAlignment="1">
      <alignment horizontal="center"/>
    </xf>
    <xf numFmtId="0" fontId="65" fillId="0" borderId="6" xfId="0" applyFont="1" applyBorder="1" applyAlignment="1"/>
    <xf numFmtId="0" fontId="58" fillId="0" borderId="6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60" fillId="0" borderId="0" xfId="0" applyFont="1" applyFill="1" applyAlignment="1">
      <alignment horizontal="center" wrapText="1"/>
    </xf>
    <xf numFmtId="0" fontId="16" fillId="0" borderId="0" xfId="0" applyFont="1" applyFill="1" applyBorder="1" applyAlignment="1">
      <alignment horizontal="left" wrapText="1"/>
    </xf>
    <xf numFmtId="10" fontId="71" fillId="0" borderId="0" xfId="49" applyNumberFormat="1" applyFont="1" applyFill="1"/>
    <xf numFmtId="0" fontId="62" fillId="0" borderId="0" xfId="0" applyFont="1" applyFill="1"/>
    <xf numFmtId="0" fontId="2" fillId="0" borderId="8" xfId="0" applyFont="1" applyFill="1" applyBorder="1" applyAlignment="1">
      <alignment wrapText="1"/>
    </xf>
    <xf numFmtId="0" fontId="65" fillId="16" borderId="7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65" fillId="0" borderId="9" xfId="0" applyFont="1" applyBorder="1" applyAlignment="1"/>
    <xf numFmtId="0" fontId="58" fillId="0" borderId="10" xfId="0" applyFont="1" applyBorder="1"/>
    <xf numFmtId="0" fontId="65" fillId="0" borderId="9" xfId="0" applyFont="1" applyBorder="1" applyAlignment="1">
      <alignment wrapText="1"/>
    </xf>
    <xf numFmtId="2" fontId="65" fillId="17" borderId="10" xfId="0" applyNumberFormat="1" applyFont="1" applyFill="1" applyBorder="1" applyAlignment="1">
      <alignment horizontal="center"/>
    </xf>
    <xf numFmtId="0" fontId="58" fillId="0" borderId="9" xfId="0" applyFont="1" applyBorder="1" applyAlignment="1">
      <alignment wrapText="1"/>
    </xf>
    <xf numFmtId="0" fontId="58" fillId="0" borderId="9" xfId="0" applyFont="1" applyFill="1" applyBorder="1" applyAlignment="1">
      <alignment wrapText="1"/>
    </xf>
    <xf numFmtId="2" fontId="58" fillId="0" borderId="10" xfId="0" applyNumberFormat="1" applyFont="1" applyFill="1" applyBorder="1" applyAlignment="1">
      <alignment horizontal="center"/>
    </xf>
    <xf numFmtId="0" fontId="65" fillId="0" borderId="9" xfId="0" applyFont="1" applyBorder="1" applyAlignment="1">
      <alignment horizontal="center"/>
    </xf>
    <xf numFmtId="0" fontId="65" fillId="0" borderId="10" xfId="0" applyFont="1" applyBorder="1" applyAlignment="1"/>
    <xf numFmtId="0" fontId="58" fillId="0" borderId="9" xfId="0" applyFont="1" applyBorder="1" applyAlignment="1"/>
    <xf numFmtId="0" fontId="58" fillId="0" borderId="10" xfId="0" applyFont="1" applyFill="1" applyBorder="1" applyAlignment="1">
      <alignment horizontal="center"/>
    </xf>
    <xf numFmtId="0" fontId="58" fillId="0" borderId="9" xfId="22" applyFont="1" applyFill="1" applyBorder="1" applyAlignment="1">
      <alignment horizontal="center"/>
    </xf>
    <xf numFmtId="0" fontId="58" fillId="0" borderId="9" xfId="0" applyFont="1" applyBorder="1" applyAlignment="1">
      <alignment horizontal="left"/>
    </xf>
    <xf numFmtId="0" fontId="58" fillId="0" borderId="9" xfId="0" applyFont="1" applyBorder="1" applyAlignment="1">
      <alignment horizontal="left" wrapText="1"/>
    </xf>
    <xf numFmtId="0" fontId="58" fillId="0" borderId="10" xfId="0" applyFont="1" applyBorder="1" applyAlignment="1">
      <alignment horizontal="center"/>
    </xf>
    <xf numFmtId="2" fontId="58" fillId="0" borderId="10" xfId="0" applyNumberFormat="1" applyFont="1" applyBorder="1" applyAlignment="1">
      <alignment horizontal="center"/>
    </xf>
    <xf numFmtId="0" fontId="65" fillId="0" borderId="9" xfId="0" applyFont="1" applyBorder="1" applyAlignment="1">
      <alignment horizontal="center" wrapText="1"/>
    </xf>
    <xf numFmtId="1" fontId="58" fillId="0" borderId="10" xfId="0" applyNumberFormat="1" applyFont="1" applyFill="1" applyBorder="1" applyAlignment="1">
      <alignment horizontal="center"/>
    </xf>
    <xf numFmtId="166" fontId="65" fillId="0" borderId="10" xfId="0" applyNumberFormat="1" applyFont="1" applyFill="1" applyBorder="1" applyAlignment="1">
      <alignment horizontal="center"/>
    </xf>
    <xf numFmtId="0" fontId="58" fillId="0" borderId="9" xfId="0" applyFont="1" applyBorder="1" applyAlignment="1">
      <alignment vertical="justify"/>
    </xf>
    <xf numFmtId="10" fontId="58" fillId="0" borderId="10" xfId="49" applyNumberFormat="1" applyFont="1" applyFill="1" applyBorder="1" applyAlignment="1">
      <alignment horizontal="center"/>
    </xf>
    <xf numFmtId="10" fontId="58" fillId="17" borderId="10" xfId="49" applyNumberFormat="1" applyFont="1" applyFill="1" applyBorder="1" applyAlignment="1">
      <alignment horizontal="center"/>
    </xf>
    <xf numFmtId="0" fontId="58" fillId="0" borderId="11" xfId="0" applyFont="1" applyBorder="1" applyAlignment="1">
      <alignment horizontal="center"/>
    </xf>
    <xf numFmtId="168" fontId="58" fillId="17" borderId="12" xfId="0" applyNumberFormat="1" applyFont="1" applyFill="1" applyBorder="1" applyAlignment="1">
      <alignment horizontal="center"/>
    </xf>
    <xf numFmtId="0" fontId="2" fillId="17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/>
    </xf>
    <xf numFmtId="0" fontId="65" fillId="0" borderId="9" xfId="0" applyFont="1" applyFill="1" applyBorder="1" applyAlignment="1">
      <alignment wrapText="1"/>
    </xf>
    <xf numFmtId="0" fontId="65" fillId="0" borderId="6" xfId="0" applyFont="1" applyFill="1" applyBorder="1" applyAlignment="1">
      <alignment horizontal="center"/>
    </xf>
    <xf numFmtId="2" fontId="65" fillId="0" borderId="10" xfId="0" applyNumberFormat="1" applyFont="1" applyFill="1" applyBorder="1" applyAlignment="1">
      <alignment horizontal="center"/>
    </xf>
    <xf numFmtId="0" fontId="58" fillId="0" borderId="13" xfId="0" applyFont="1" applyFill="1" applyBorder="1" applyAlignment="1">
      <alignment wrapText="1"/>
    </xf>
    <xf numFmtId="0" fontId="58" fillId="0" borderId="8" xfId="0" applyFont="1" applyFill="1" applyBorder="1" applyAlignment="1">
      <alignment horizontal="center"/>
    </xf>
    <xf numFmtId="0" fontId="65" fillId="0" borderId="0" xfId="0" applyFont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69" fillId="0" borderId="16" xfId="0" applyFont="1" applyBorder="1"/>
    <xf numFmtId="0" fontId="66" fillId="0" borderId="0" xfId="0" applyFont="1" applyBorder="1"/>
    <xf numFmtId="0" fontId="66" fillId="0" borderId="17" xfId="0" applyFont="1" applyBorder="1"/>
    <xf numFmtId="0" fontId="69" fillId="17" borderId="5" xfId="0" applyFont="1" applyFill="1" applyBorder="1" applyAlignment="1">
      <alignment horizontal="center" vertical="top" wrapText="1"/>
    </xf>
    <xf numFmtId="0" fontId="66" fillId="17" borderId="14" xfId="0" applyFont="1" applyFill="1" applyBorder="1" applyAlignment="1">
      <alignment horizontal="center" vertical="top" wrapText="1"/>
    </xf>
    <xf numFmtId="0" fontId="80" fillId="17" borderId="18" xfId="0" applyFont="1" applyFill="1" applyBorder="1" applyAlignment="1">
      <alignment horizontal="center" vertical="top" wrapText="1"/>
    </xf>
    <xf numFmtId="0" fontId="69" fillId="17" borderId="14" xfId="0" applyFont="1" applyFill="1" applyBorder="1" applyAlignment="1">
      <alignment horizontal="center" vertical="top" wrapText="1"/>
    </xf>
    <xf numFmtId="0" fontId="80" fillId="17" borderId="14" xfId="0" applyFont="1" applyFill="1" applyBorder="1" applyAlignment="1">
      <alignment horizontal="center" vertical="top" wrapText="1"/>
    </xf>
    <xf numFmtId="0" fontId="80" fillId="17" borderId="15" xfId="0" applyFont="1" applyFill="1" applyBorder="1" applyAlignment="1">
      <alignment horizontal="center" vertical="top" wrapText="1"/>
    </xf>
    <xf numFmtId="0" fontId="67" fillId="17" borderId="19" xfId="0" applyFont="1" applyFill="1" applyBorder="1" applyAlignment="1">
      <alignment vertical="top" wrapText="1"/>
    </xf>
    <xf numFmtId="0" fontId="67" fillId="17" borderId="20" xfId="0" applyFont="1" applyFill="1" applyBorder="1" applyAlignment="1">
      <alignment horizontal="center" vertical="top" wrapText="1"/>
    </xf>
    <xf numFmtId="0" fontId="66" fillId="17" borderId="6" xfId="0" applyFont="1" applyFill="1" applyBorder="1" applyAlignment="1">
      <alignment horizontal="center" vertical="top" wrapText="1"/>
    </xf>
    <xf numFmtId="2" fontId="66" fillId="17" borderId="6" xfId="0" applyNumberFormat="1" applyFont="1" applyFill="1" applyBorder="1" applyAlignment="1">
      <alignment horizontal="center" vertical="center" wrapText="1"/>
    </xf>
    <xf numFmtId="0" fontId="66" fillId="17" borderId="5" xfId="0" applyFont="1" applyFill="1" applyBorder="1" applyAlignment="1">
      <alignment horizontal="center" vertical="top" wrapText="1"/>
    </xf>
    <xf numFmtId="0" fontId="66" fillId="17" borderId="21" xfId="0" applyFont="1" applyFill="1" applyBorder="1" applyAlignment="1">
      <alignment horizontal="left" vertical="top" wrapText="1"/>
    </xf>
    <xf numFmtId="0" fontId="66" fillId="17" borderId="22" xfId="0" applyFont="1" applyFill="1" applyBorder="1" applyAlignment="1">
      <alignment horizontal="center" vertical="top" wrapText="1"/>
    </xf>
    <xf numFmtId="2" fontId="66" fillId="17" borderId="23" xfId="0" applyNumberFormat="1" applyFont="1" applyFill="1" applyBorder="1" applyAlignment="1">
      <alignment horizontal="center" vertical="center" wrapText="1"/>
    </xf>
    <xf numFmtId="0" fontId="66" fillId="17" borderId="9" xfId="0" applyFont="1" applyFill="1" applyBorder="1" applyAlignment="1">
      <alignment horizontal="left" vertical="top" wrapText="1"/>
    </xf>
    <xf numFmtId="2" fontId="66" fillId="17" borderId="10" xfId="0" applyNumberFormat="1" applyFont="1" applyFill="1" applyBorder="1" applyAlignment="1">
      <alignment horizontal="center" vertical="center" wrapText="1"/>
    </xf>
    <xf numFmtId="0" fontId="66" fillId="17" borderId="24" xfId="0" applyFont="1" applyFill="1" applyBorder="1" applyAlignment="1">
      <alignment horizontal="left" vertical="top" wrapText="1"/>
    </xf>
    <xf numFmtId="0" fontId="66" fillId="17" borderId="11" xfId="0" applyFont="1" applyFill="1" applyBorder="1" applyAlignment="1">
      <alignment horizontal="center" vertical="top" wrapText="1"/>
    </xf>
    <xf numFmtId="2" fontId="66" fillId="17" borderId="12" xfId="0" applyNumberFormat="1" applyFont="1" applyFill="1" applyBorder="1" applyAlignment="1">
      <alignment horizontal="center" vertical="center" wrapText="1"/>
    </xf>
    <xf numFmtId="0" fontId="66" fillId="17" borderId="14" xfId="0" applyFont="1" applyFill="1" applyBorder="1" applyAlignment="1">
      <alignment vertical="top" wrapText="1"/>
    </xf>
    <xf numFmtId="0" fontId="66" fillId="17" borderId="15" xfId="0" applyFont="1" applyFill="1" applyBorder="1" applyAlignment="1">
      <alignment vertical="top" wrapText="1"/>
    </xf>
    <xf numFmtId="0" fontId="66" fillId="17" borderId="15" xfId="0" applyFont="1" applyFill="1" applyBorder="1" applyAlignment="1">
      <alignment horizontal="center" vertical="top" wrapText="1"/>
    </xf>
    <xf numFmtId="2" fontId="66" fillId="17" borderId="25" xfId="0" applyNumberFormat="1" applyFont="1" applyFill="1" applyBorder="1" applyAlignment="1">
      <alignment horizontal="center" vertical="center" wrapText="1"/>
    </xf>
    <xf numFmtId="0" fontId="66" fillId="17" borderId="6" xfId="0" applyFont="1" applyFill="1" applyBorder="1" applyAlignment="1">
      <alignment horizontal="center" vertical="center" wrapText="1"/>
    </xf>
    <xf numFmtId="2" fontId="66" fillId="0" borderId="6" xfId="0" applyNumberFormat="1" applyFont="1" applyFill="1" applyBorder="1" applyAlignment="1">
      <alignment horizontal="center" vertical="center" wrapText="1"/>
    </xf>
    <xf numFmtId="0" fontId="66" fillId="17" borderId="26" xfId="0" applyFont="1" applyFill="1" applyBorder="1" applyAlignment="1">
      <alignment horizontal="center" vertical="center" wrapText="1"/>
    </xf>
    <xf numFmtId="0" fontId="66" fillId="17" borderId="8" xfId="0" applyFont="1" applyFill="1" applyBorder="1" applyAlignment="1">
      <alignment horizontal="center" vertical="center" wrapText="1"/>
    </xf>
    <xf numFmtId="0" fontId="66" fillId="17" borderId="21" xfId="0" applyFont="1" applyFill="1" applyBorder="1" applyAlignment="1">
      <alignment vertical="top" wrapText="1"/>
    </xf>
    <xf numFmtId="0" fontId="66" fillId="17" borderId="22" xfId="0" applyFont="1" applyFill="1" applyBorder="1" applyAlignment="1">
      <alignment horizontal="center" vertical="center" wrapText="1"/>
    </xf>
    <xf numFmtId="2" fontId="66" fillId="17" borderId="22" xfId="0" applyNumberFormat="1" applyFont="1" applyFill="1" applyBorder="1" applyAlignment="1">
      <alignment horizontal="center" vertical="center" wrapText="1"/>
    </xf>
    <xf numFmtId="0" fontId="66" fillId="17" borderId="9" xfId="0" applyFont="1" applyFill="1" applyBorder="1" applyAlignment="1">
      <alignment vertical="top" wrapText="1"/>
    </xf>
    <xf numFmtId="0" fontId="66" fillId="17" borderId="24" xfId="0" applyFont="1" applyFill="1" applyBorder="1" applyAlignment="1">
      <alignment vertical="top" wrapText="1"/>
    </xf>
    <xf numFmtId="0" fontId="66" fillId="17" borderId="11" xfId="0" applyFont="1" applyFill="1" applyBorder="1" applyAlignment="1">
      <alignment horizontal="center" vertical="center" wrapText="1"/>
    </xf>
    <xf numFmtId="2" fontId="66" fillId="17" borderId="11" xfId="0" applyNumberFormat="1" applyFont="1" applyFill="1" applyBorder="1" applyAlignment="1">
      <alignment horizontal="center" vertical="center" wrapText="1"/>
    </xf>
    <xf numFmtId="2" fontId="66" fillId="17" borderId="26" xfId="0" applyNumberFormat="1" applyFont="1" applyFill="1" applyBorder="1" applyAlignment="1">
      <alignment horizontal="center" vertical="center" wrapText="1"/>
    </xf>
    <xf numFmtId="0" fontId="66" fillId="0" borderId="9" xfId="0" applyFont="1" applyFill="1" applyBorder="1" applyAlignment="1">
      <alignment vertical="top" wrapText="1"/>
    </xf>
    <xf numFmtId="0" fontId="66" fillId="0" borderId="24" xfId="0" applyFont="1" applyFill="1" applyBorder="1" applyAlignment="1">
      <alignment vertical="top" wrapText="1"/>
    </xf>
    <xf numFmtId="0" fontId="66" fillId="17" borderId="27" xfId="0" applyFont="1" applyFill="1" applyBorder="1" applyAlignment="1">
      <alignment vertical="top" wrapText="1"/>
    </xf>
    <xf numFmtId="0" fontId="66" fillId="17" borderId="15" xfId="0" applyFont="1" applyFill="1" applyBorder="1" applyAlignment="1">
      <alignment horizontal="center" wrapText="1"/>
    </xf>
    <xf numFmtId="0" fontId="66" fillId="17" borderId="5" xfId="0" applyFont="1" applyFill="1" applyBorder="1" applyAlignment="1">
      <alignment horizontal="center" vertical="justify" wrapText="1"/>
    </xf>
    <xf numFmtId="0" fontId="66" fillId="17" borderId="14" xfId="0" applyFont="1" applyFill="1" applyBorder="1" applyAlignment="1">
      <alignment wrapText="1"/>
    </xf>
    <xf numFmtId="0" fontId="66" fillId="17" borderId="14" xfId="0" applyFont="1" applyFill="1" applyBorder="1" applyAlignment="1">
      <alignment horizontal="center" wrapText="1"/>
    </xf>
    <xf numFmtId="0" fontId="66" fillId="17" borderId="15" xfId="0" applyFont="1" applyFill="1" applyBorder="1" applyAlignment="1">
      <alignment wrapText="1"/>
    </xf>
    <xf numFmtId="0" fontId="66" fillId="17" borderId="5" xfId="0" applyFont="1" applyFill="1" applyBorder="1" applyAlignment="1">
      <alignment horizontal="center" wrapText="1"/>
    </xf>
    <xf numFmtId="0" fontId="0" fillId="0" borderId="5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8" xfId="0" applyBorder="1"/>
    <xf numFmtId="0" fontId="0" fillId="0" borderId="29" xfId="0" applyBorder="1"/>
    <xf numFmtId="0" fontId="0" fillId="0" borderId="11" xfId="0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9" xfId="0" applyBorder="1"/>
    <xf numFmtId="0" fontId="0" fillId="0" borderId="24" xfId="0" applyBorder="1"/>
    <xf numFmtId="0" fontId="0" fillId="0" borderId="11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6" fillId="0" borderId="5" xfId="0" applyFont="1" applyFill="1" applyBorder="1" applyAlignment="1">
      <alignment horizontal="center" vertical="top" wrapText="1"/>
    </xf>
    <xf numFmtId="2" fontId="0" fillId="0" borderId="23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66" fillId="17" borderId="22" xfId="0" applyNumberFormat="1" applyFont="1" applyFill="1" applyBorder="1" applyAlignment="1">
      <alignment horizontal="center" vertical="top" wrapText="1"/>
    </xf>
    <xf numFmtId="2" fontId="66" fillId="0" borderId="6" xfId="0" applyNumberFormat="1" applyFont="1" applyFill="1" applyBorder="1" applyAlignment="1">
      <alignment horizontal="center" vertical="top" wrapText="1"/>
    </xf>
    <xf numFmtId="2" fontId="66" fillId="17" borderId="6" xfId="0" applyNumberFormat="1" applyFont="1" applyFill="1" applyBorder="1" applyAlignment="1">
      <alignment horizontal="center" vertical="top" wrapText="1"/>
    </xf>
    <xf numFmtId="0" fontId="0" fillId="0" borderId="26" xfId="0" applyFill="1" applyBorder="1" applyAlignment="1">
      <alignment horizontal="center"/>
    </xf>
    <xf numFmtId="0" fontId="66" fillId="17" borderId="30" xfId="0" applyFont="1" applyFill="1" applyBorder="1" applyAlignment="1">
      <alignment horizontal="center" vertical="top" wrapText="1"/>
    </xf>
    <xf numFmtId="2" fontId="66" fillId="17" borderId="11" xfId="0" applyNumberFormat="1" applyFont="1" applyFill="1" applyBorder="1" applyAlignment="1">
      <alignment horizontal="center" vertical="top" wrapText="1"/>
    </xf>
    <xf numFmtId="0" fontId="66" fillId="17" borderId="13" xfId="0" applyFont="1" applyFill="1" applyBorder="1" applyAlignment="1">
      <alignment vertical="top" wrapText="1"/>
    </xf>
    <xf numFmtId="2" fontId="66" fillId="17" borderId="31" xfId="0" applyNumberFormat="1" applyFont="1" applyFill="1" applyBorder="1" applyAlignment="1">
      <alignment horizontal="center" vertical="center" wrapText="1"/>
    </xf>
    <xf numFmtId="0" fontId="66" fillId="17" borderId="28" xfId="0" applyFont="1" applyFill="1" applyBorder="1" applyAlignment="1">
      <alignment horizontal="center" vertical="top" wrapText="1"/>
    </xf>
    <xf numFmtId="0" fontId="66" fillId="17" borderId="29" xfId="0" applyFont="1" applyFill="1" applyBorder="1" applyAlignment="1">
      <alignment horizontal="center" vertical="top" wrapText="1"/>
    </xf>
    <xf numFmtId="2" fontId="0" fillId="0" borderId="22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78" fillId="0" borderId="0" xfId="0" applyNumberFormat="1" applyFont="1"/>
    <xf numFmtId="0" fontId="67" fillId="0" borderId="19" xfId="0" applyFont="1" applyFill="1" applyBorder="1" applyAlignment="1">
      <alignment vertical="top" wrapText="1"/>
    </xf>
    <xf numFmtId="0" fontId="67" fillId="0" borderId="19" xfId="0" applyFont="1" applyFill="1" applyBorder="1" applyAlignment="1">
      <alignment horizontal="center" vertical="top" wrapText="1"/>
    </xf>
    <xf numFmtId="0" fontId="24" fillId="0" borderId="0" xfId="0" applyFont="1"/>
    <xf numFmtId="2" fontId="4" fillId="16" borderId="0" xfId="0" applyNumberFormat="1" applyFont="1" applyFill="1" applyBorder="1" applyAlignment="1">
      <alignment horizontal="right"/>
    </xf>
    <xf numFmtId="0" fontId="4" fillId="16" borderId="0" xfId="0" applyFont="1" applyFill="1" applyBorder="1"/>
    <xf numFmtId="1" fontId="4" fillId="16" borderId="0" xfId="0" applyNumberFormat="1" applyFont="1" applyFill="1" applyBorder="1" applyAlignment="1">
      <alignment horizontal="right"/>
    </xf>
    <xf numFmtId="0" fontId="18" fillId="0" borderId="0" xfId="45" applyFont="1" applyFill="1"/>
    <xf numFmtId="0" fontId="4" fillId="0" borderId="0" xfId="45" applyFont="1" applyBorder="1" applyAlignment="1">
      <alignment horizontal="center"/>
    </xf>
    <xf numFmtId="2" fontId="4" fillId="0" borderId="0" xfId="45" applyNumberFormat="1" applyFont="1" applyFill="1"/>
    <xf numFmtId="0" fontId="4" fillId="0" borderId="0" xfId="45" applyFont="1" applyBorder="1"/>
    <xf numFmtId="0" fontId="22" fillId="0" borderId="0" xfId="45" applyFont="1" applyBorder="1"/>
    <xf numFmtId="171" fontId="18" fillId="0" borderId="0" xfId="45" applyNumberFormat="1" applyFont="1" applyBorder="1"/>
    <xf numFmtId="2" fontId="43" fillId="0" borderId="0" xfId="45" applyNumberFormat="1" applyFont="1" applyFill="1" applyBorder="1" applyAlignment="1">
      <alignment wrapText="1"/>
    </xf>
    <xf numFmtId="0" fontId="43" fillId="0" borderId="0" xfId="45" applyFont="1" applyBorder="1" applyAlignment="1">
      <alignment horizontal="center"/>
    </xf>
    <xf numFmtId="2" fontId="17" fillId="0" borderId="0" xfId="45" applyNumberFormat="1" applyFont="1" applyFill="1" applyBorder="1" applyAlignment="1">
      <alignment horizontal="left" wrapText="1" indent="1"/>
    </xf>
    <xf numFmtId="0" fontId="2" fillId="0" borderId="0" xfId="45" applyFont="1" applyBorder="1"/>
    <xf numFmtId="2" fontId="44" fillId="0" borderId="0" xfId="45" applyNumberFormat="1" applyFont="1" applyFill="1" applyBorder="1" applyAlignment="1">
      <alignment horizontal="left" wrapText="1" indent="1"/>
    </xf>
    <xf numFmtId="2" fontId="48" fillId="0" borderId="0" xfId="45" applyNumberFormat="1" applyFont="1" applyBorder="1" applyAlignment="1">
      <alignment horizontal="center"/>
    </xf>
    <xf numFmtId="2" fontId="48" fillId="0" borderId="0" xfId="45" applyNumberFormat="1" applyFont="1" applyBorder="1"/>
    <xf numFmtId="2" fontId="49" fillId="0" borderId="0" xfId="45" applyNumberFormat="1" applyFont="1" applyFill="1" applyBorder="1"/>
    <xf numFmtId="165" fontId="49" fillId="0" borderId="0" xfId="45" applyNumberFormat="1" applyFont="1" applyFill="1" applyBorder="1"/>
    <xf numFmtId="2" fontId="14" fillId="0" borderId="0" xfId="45" applyNumberFormat="1" applyFont="1" applyBorder="1" applyAlignment="1">
      <alignment horizontal="center"/>
    </xf>
    <xf numFmtId="2" fontId="17" fillId="0" borderId="0" xfId="45" applyNumberFormat="1" applyFont="1" applyFill="1" applyBorder="1" applyAlignment="1">
      <alignment horizontal="left" wrapText="1" indent="2"/>
    </xf>
    <xf numFmtId="1" fontId="14" fillId="0" borderId="0" xfId="45" applyNumberFormat="1" applyFont="1" applyBorder="1"/>
    <xf numFmtId="1" fontId="14" fillId="0" borderId="0" xfId="45" applyNumberFormat="1" applyFont="1" applyFill="1" applyBorder="1"/>
    <xf numFmtId="2" fontId="42" fillId="0" borderId="0" xfId="45" applyNumberFormat="1" applyFont="1" applyBorder="1"/>
    <xf numFmtId="0" fontId="43" fillId="0" borderId="0" xfId="45" applyFont="1" applyFill="1" applyBorder="1" applyAlignment="1">
      <alignment wrapText="1"/>
    </xf>
    <xf numFmtId="0" fontId="14" fillId="0" borderId="0" xfId="45" applyFont="1" applyFill="1" applyBorder="1" applyAlignment="1">
      <alignment horizontal="center"/>
    </xf>
    <xf numFmtId="2" fontId="43" fillId="0" borderId="0" xfId="45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166" fontId="73" fillId="0" borderId="0" xfId="45" applyNumberFormat="1" applyFont="1" applyFill="1" applyBorder="1"/>
    <xf numFmtId="171" fontId="18" fillId="0" borderId="0" xfId="45" applyNumberFormat="1" applyFont="1" applyFill="1" applyBorder="1"/>
    <xf numFmtId="0" fontId="4" fillId="0" borderId="0" xfId="45" applyFont="1" applyFill="1" applyBorder="1"/>
    <xf numFmtId="166" fontId="50" fillId="0" borderId="0" xfId="45" applyNumberFormat="1" applyFont="1" applyFill="1" applyBorder="1"/>
    <xf numFmtId="0" fontId="18" fillId="0" borderId="0" xfId="45" applyFont="1" applyFill="1" applyBorder="1"/>
    <xf numFmtId="166" fontId="14" fillId="0" borderId="0" xfId="45" applyNumberFormat="1" applyFont="1" applyFill="1" applyBorder="1"/>
    <xf numFmtId="2" fontId="14" fillId="0" borderId="0" xfId="45" applyNumberFormat="1" applyFont="1" applyFill="1" applyBorder="1"/>
    <xf numFmtId="2" fontId="43" fillId="0" borderId="0" xfId="45" applyNumberFormat="1" applyFont="1" applyFill="1" applyBorder="1" applyAlignment="1">
      <alignment horizontal="left" wrapText="1" indent="2"/>
    </xf>
    <xf numFmtId="0" fontId="14" fillId="0" borderId="0" xfId="45" applyNumberFormat="1" applyFont="1" applyBorder="1" applyAlignment="1">
      <alignment horizontal="left" wrapText="1" indent="2"/>
    </xf>
    <xf numFmtId="1" fontId="14" fillId="18" borderId="0" xfId="45" applyNumberFormat="1" applyFont="1" applyFill="1" applyBorder="1"/>
    <xf numFmtId="167" fontId="14" fillId="0" borderId="0" xfId="45" applyNumberFormat="1" applyFont="1" applyFill="1" applyBorder="1"/>
    <xf numFmtId="0" fontId="26" fillId="0" borderId="0" xfId="0" applyFont="1" applyBorder="1"/>
    <xf numFmtId="0" fontId="10" fillId="0" borderId="0" xfId="0" applyFont="1" applyBorder="1"/>
    <xf numFmtId="0" fontId="10" fillId="0" borderId="0" xfId="45" applyFont="1" applyBorder="1"/>
    <xf numFmtId="0" fontId="26" fillId="0" borderId="0" xfId="0" applyFont="1" applyBorder="1" applyAlignment="1">
      <alignment horizontal="center" vertical="top"/>
    </xf>
    <xf numFmtId="0" fontId="10" fillId="0" borderId="0" xfId="45" applyFont="1" applyBorder="1" applyAlignment="1">
      <alignment horizontal="left"/>
    </xf>
    <xf numFmtId="0" fontId="10" fillId="0" borderId="0" xfId="45" applyFont="1" applyBorder="1" applyAlignment="1">
      <alignment horizontal="center"/>
    </xf>
    <xf numFmtId="0" fontId="70" fillId="0" borderId="0" xfId="45" applyFont="1" applyBorder="1"/>
    <xf numFmtId="0" fontId="70" fillId="0" borderId="0" xfId="45" applyFont="1" applyBorder="1" applyAlignment="1">
      <alignment horizontal="center"/>
    </xf>
    <xf numFmtId="0" fontId="70" fillId="0" borderId="0" xfId="45" applyFont="1" applyBorder="1" applyAlignment="1">
      <alignment horizontal="left"/>
    </xf>
    <xf numFmtId="0" fontId="16" fillId="0" borderId="0" xfId="45" applyFont="1" applyBorder="1"/>
    <xf numFmtId="2" fontId="16" fillId="0" borderId="0" xfId="45" applyNumberFormat="1" applyFont="1" applyBorder="1"/>
    <xf numFmtId="0" fontId="14" fillId="0" borderId="0" xfId="45" applyFont="1" applyFill="1" applyBorder="1"/>
    <xf numFmtId="0" fontId="43" fillId="0" borderId="0" xfId="45" applyFont="1" applyFill="1" applyBorder="1" applyAlignment="1">
      <alignment horizontal="center"/>
    </xf>
    <xf numFmtId="0" fontId="58" fillId="19" borderId="10" xfId="0" applyFont="1" applyFill="1" applyBorder="1" applyAlignment="1">
      <alignment horizontal="center"/>
    </xf>
    <xf numFmtId="2" fontId="58" fillId="19" borderId="10" xfId="0" applyNumberFormat="1" applyFont="1" applyFill="1" applyBorder="1" applyAlignment="1">
      <alignment horizontal="center"/>
    </xf>
    <xf numFmtId="1" fontId="65" fillId="19" borderId="10" xfId="0" applyNumberFormat="1" applyFont="1" applyFill="1" applyBorder="1" applyAlignment="1">
      <alignment horizontal="center"/>
    </xf>
    <xf numFmtId="2" fontId="81" fillId="0" borderId="0" xfId="0" applyNumberFormat="1" applyFont="1" applyFill="1"/>
    <xf numFmtId="165" fontId="58" fillId="0" borderId="32" xfId="0" applyNumberFormat="1" applyFont="1" applyFill="1" applyBorder="1" applyAlignment="1">
      <alignment horizontal="center"/>
    </xf>
    <xf numFmtId="165" fontId="58" fillId="0" borderId="10" xfId="0" applyNumberFormat="1" applyFont="1" applyFill="1" applyBorder="1" applyAlignment="1">
      <alignment horizontal="center"/>
    </xf>
    <xf numFmtId="1" fontId="58" fillId="19" borderId="10" xfId="0" applyNumberFormat="1" applyFont="1" applyFill="1" applyBorder="1" applyAlignment="1">
      <alignment horizontal="center"/>
    </xf>
    <xf numFmtId="0" fontId="65" fillId="19" borderId="10" xfId="0" applyFont="1" applyFill="1" applyBorder="1"/>
    <xf numFmtId="0" fontId="17" fillId="0" borderId="0" xfId="45" applyFont="1" applyFill="1" applyBorder="1" applyAlignment="1">
      <alignment horizontal="center"/>
    </xf>
    <xf numFmtId="0" fontId="63" fillId="0" borderId="0" xfId="45" applyFont="1" applyFill="1" applyBorder="1" applyAlignment="1">
      <alignment horizontal="left" wrapText="1" indent="1"/>
    </xf>
    <xf numFmtId="0" fontId="63" fillId="0" borderId="0" xfId="45" applyFont="1" applyFill="1" applyBorder="1" applyAlignment="1">
      <alignment horizontal="center"/>
    </xf>
    <xf numFmtId="166" fontId="47" fillId="0" borderId="0" xfId="45" applyNumberFormat="1" applyFont="1" applyFill="1" applyBorder="1"/>
    <xf numFmtId="0" fontId="17" fillId="0" borderId="0" xfId="45" applyFont="1" applyFill="1" applyBorder="1" applyAlignment="1">
      <alignment horizontal="right"/>
    </xf>
    <xf numFmtId="166" fontId="43" fillId="0" borderId="0" xfId="45" applyNumberFormat="1" applyFont="1" applyFill="1" applyBorder="1" applyAlignment="1">
      <alignment horizontal="right"/>
    </xf>
    <xf numFmtId="2" fontId="85" fillId="0" borderId="0" xfId="0" applyNumberFormat="1" applyFont="1" applyFill="1"/>
    <xf numFmtId="0" fontId="67" fillId="0" borderId="33" xfId="0" applyFont="1" applyFill="1" applyBorder="1" applyAlignment="1">
      <alignment horizontal="center" vertical="top" wrapText="1"/>
    </xf>
    <xf numFmtId="168" fontId="58" fillId="0" borderId="10" xfId="49" applyNumberFormat="1" applyFont="1" applyFill="1" applyBorder="1" applyAlignment="1">
      <alignment horizontal="center"/>
    </xf>
    <xf numFmtId="0" fontId="69" fillId="0" borderId="16" xfId="0" applyFont="1" applyFill="1" applyBorder="1"/>
    <xf numFmtId="0" fontId="66" fillId="0" borderId="0" xfId="0" applyFont="1" applyFill="1" applyBorder="1"/>
    <xf numFmtId="0" fontId="58" fillId="0" borderId="24" xfId="0" applyFont="1" applyBorder="1" applyAlignment="1"/>
    <xf numFmtId="0" fontId="68" fillId="0" borderId="0" xfId="0" applyFont="1" applyFill="1"/>
    <xf numFmtId="0" fontId="87" fillId="0" borderId="0" xfId="0" applyFont="1"/>
    <xf numFmtId="0" fontId="88" fillId="0" borderId="0" xfId="0" applyFont="1"/>
    <xf numFmtId="178" fontId="88" fillId="0" borderId="0" xfId="0" applyNumberFormat="1" applyFont="1"/>
    <xf numFmtId="0" fontId="68" fillId="0" borderId="0" xfId="0" applyFont="1" applyFill="1" applyBorder="1"/>
    <xf numFmtId="2" fontId="68" fillId="0" borderId="0" xfId="0" applyNumberFormat="1" applyFont="1" applyFill="1" applyBorder="1"/>
    <xf numFmtId="0" fontId="86" fillId="0" borderId="0" xfId="0" applyFont="1" applyFill="1" applyBorder="1"/>
    <xf numFmtId="4" fontId="89" fillId="0" borderId="0" xfId="0" applyNumberFormat="1" applyFont="1" applyAlignment="1">
      <alignment horizontal="right"/>
    </xf>
    <xf numFmtId="170" fontId="87" fillId="0" borderId="0" xfId="0" applyNumberFormat="1" applyFont="1" applyFill="1" applyBorder="1" applyAlignment="1">
      <alignment horizontal="center"/>
    </xf>
    <xf numFmtId="4" fontId="87" fillId="0" borderId="0" xfId="0" applyNumberFormat="1" applyFont="1" applyFill="1" applyBorder="1"/>
    <xf numFmtId="2" fontId="88" fillId="0" borderId="0" xfId="0" applyNumberFormat="1" applyFont="1" applyFill="1" applyBorder="1" applyAlignment="1">
      <alignment horizontal="right"/>
    </xf>
    <xf numFmtId="2" fontId="88" fillId="0" borderId="0" xfId="0" applyNumberFormat="1" applyFont="1" applyAlignment="1">
      <alignment horizontal="right"/>
    </xf>
    <xf numFmtId="2" fontId="88" fillId="0" borderId="0" xfId="0" applyNumberFormat="1" applyFont="1" applyFill="1" applyBorder="1" applyAlignment="1">
      <alignment horizontal="left" vertical="center" indent="1"/>
    </xf>
    <xf numFmtId="2" fontId="88" fillId="0" borderId="0" xfId="0" applyNumberFormat="1" applyFont="1" applyAlignment="1">
      <alignment horizontal="left" vertical="center" indent="1"/>
    </xf>
    <xf numFmtId="0" fontId="88" fillId="0" borderId="0" xfId="0" applyFont="1" applyFill="1" applyBorder="1"/>
    <xf numFmtId="4" fontId="89" fillId="20" borderId="0" xfId="0" applyNumberFormat="1" applyFont="1" applyFill="1" applyAlignment="1">
      <alignment horizontal="right"/>
    </xf>
    <xf numFmtId="2" fontId="88" fillId="20" borderId="0" xfId="0" applyNumberFormat="1" applyFont="1" applyFill="1" applyBorder="1" applyAlignment="1">
      <alignment horizontal="right"/>
    </xf>
    <xf numFmtId="2" fontId="88" fillId="16" borderId="0" xfId="0" applyNumberFormat="1" applyFont="1" applyFill="1" applyBorder="1" applyAlignment="1">
      <alignment horizontal="right"/>
    </xf>
    <xf numFmtId="0" fontId="88" fillId="20" borderId="0" xfId="0" applyFont="1" applyFill="1" applyBorder="1"/>
    <xf numFmtId="172" fontId="89" fillId="20" borderId="0" xfId="0" applyNumberFormat="1" applyFont="1" applyFill="1" applyAlignment="1">
      <alignment horizontal="left"/>
    </xf>
    <xf numFmtId="4" fontId="89" fillId="20" borderId="0" xfId="0" applyNumberFormat="1" applyFont="1" applyFill="1" applyAlignment="1">
      <alignment horizontal="left"/>
    </xf>
    <xf numFmtId="1" fontId="88" fillId="20" borderId="0" xfId="0" applyNumberFormat="1" applyFont="1" applyFill="1" applyBorder="1" applyAlignment="1">
      <alignment horizontal="right"/>
    </xf>
    <xf numFmtId="1" fontId="88" fillId="16" borderId="0" xfId="0" applyNumberFormat="1" applyFont="1" applyFill="1" applyBorder="1" applyAlignment="1">
      <alignment horizontal="right"/>
    </xf>
    <xf numFmtId="0" fontId="90" fillId="0" borderId="0" xfId="0" applyFont="1" applyBorder="1" applyAlignment="1">
      <alignment vertical="top" wrapText="1"/>
    </xf>
    <xf numFmtId="0" fontId="90" fillId="0" borderId="0" xfId="0" applyFont="1" applyBorder="1" applyAlignment="1">
      <alignment horizontal="center" wrapText="1"/>
    </xf>
    <xf numFmtId="0" fontId="0" fillId="0" borderId="0" xfId="0" applyBorder="1" applyProtection="1">
      <protection hidden="1"/>
    </xf>
    <xf numFmtId="0" fontId="9" fillId="16" borderId="5" xfId="0" applyFont="1" applyFill="1" applyBorder="1" applyAlignment="1" applyProtection="1">
      <alignment horizontal="center" vertical="center" wrapText="1"/>
      <protection hidden="1"/>
    </xf>
    <xf numFmtId="0" fontId="9" fillId="16" borderId="5" xfId="0" applyFont="1" applyFill="1" applyBorder="1" applyAlignment="1" applyProtection="1">
      <alignment horizontal="center" vertical="center"/>
      <protection hidden="1"/>
    </xf>
    <xf numFmtId="2" fontId="10" fillId="0" borderId="6" xfId="0" applyNumberFormat="1" applyFont="1" applyFill="1" applyBorder="1" applyAlignment="1" applyProtection="1">
      <protection hidden="1"/>
    </xf>
    <xf numFmtId="2" fontId="10" fillId="0" borderId="6" xfId="0" applyNumberFormat="1" applyFont="1" applyFill="1" applyBorder="1" applyAlignment="1" applyProtection="1">
      <alignment wrapText="1"/>
      <protection hidden="1"/>
    </xf>
    <xf numFmtId="0" fontId="2" fillId="0" borderId="0" xfId="0" applyFont="1" applyFill="1" applyBorder="1" applyProtection="1">
      <protection hidden="1"/>
    </xf>
    <xf numFmtId="0" fontId="9" fillId="16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64" fillId="0" borderId="0" xfId="0" applyFont="1" applyProtection="1">
      <protection hidden="1"/>
    </xf>
    <xf numFmtId="0" fontId="10" fillId="0" borderId="0" xfId="0" applyFont="1" applyFill="1" applyBorder="1" applyAlignment="1" applyProtection="1">
      <protection hidden="1"/>
    </xf>
    <xf numFmtId="2" fontId="0" fillId="0" borderId="0" xfId="0" applyNumberFormat="1" applyProtection="1">
      <protection hidden="1"/>
    </xf>
    <xf numFmtId="0" fontId="9" fillId="0" borderId="9" xfId="0" applyFont="1" applyFill="1" applyBorder="1" applyAlignment="1" applyProtection="1">
      <protection hidden="1"/>
    </xf>
    <xf numFmtId="2" fontId="10" fillId="0" borderId="9" xfId="0" applyNumberFormat="1" applyFont="1" applyFill="1" applyBorder="1" applyAlignment="1" applyProtection="1">
      <protection hidden="1"/>
    </xf>
    <xf numFmtId="2" fontId="10" fillId="0" borderId="9" xfId="0" applyNumberFormat="1" applyFont="1" applyFill="1" applyBorder="1" applyAlignment="1" applyProtection="1">
      <alignment wrapText="1"/>
      <protection hidden="1"/>
    </xf>
    <xf numFmtId="2" fontId="9" fillId="0" borderId="9" xfId="0" applyNumberFormat="1" applyFont="1" applyFill="1" applyBorder="1" applyAlignment="1" applyProtection="1">
      <protection hidden="1"/>
    </xf>
    <xf numFmtId="2" fontId="10" fillId="0" borderId="24" xfId="0" applyNumberFormat="1" applyFont="1" applyFill="1" applyBorder="1" applyAlignment="1" applyProtection="1">
      <alignment wrapText="1"/>
      <protection hidden="1"/>
    </xf>
    <xf numFmtId="2" fontId="10" fillId="0" borderId="0" xfId="0" applyNumberFormat="1" applyFont="1" applyFill="1" applyBorder="1" applyAlignment="1" applyProtection="1">
      <alignment horizontal="left" wrapText="1" indent="3"/>
      <protection hidden="1"/>
    </xf>
    <xf numFmtId="2" fontId="10" fillId="0" borderId="0" xfId="0" applyNumberFormat="1" applyFont="1" applyFill="1" applyBorder="1" applyAlignment="1" applyProtection="1">
      <alignment horizontal="center"/>
      <protection hidden="1"/>
    </xf>
    <xf numFmtId="0" fontId="75" fillId="0" borderId="0" xfId="0" applyFont="1" applyFill="1" applyBorder="1" applyAlignment="1" applyProtection="1">
      <protection hidden="1"/>
    </xf>
    <xf numFmtId="0" fontId="9" fillId="0" borderId="0" xfId="0" applyFont="1" applyBorder="1" applyAlignment="1" applyProtection="1">
      <alignment horizontal="right"/>
      <protection hidden="1"/>
    </xf>
    <xf numFmtId="0" fontId="9" fillId="16" borderId="33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protection hidden="1"/>
    </xf>
    <xf numFmtId="2" fontId="9" fillId="0" borderId="6" xfId="0" applyNumberFormat="1" applyFont="1" applyFill="1" applyBorder="1" applyAlignment="1" applyProtection="1">
      <protection hidden="1"/>
    </xf>
    <xf numFmtId="0" fontId="10" fillId="0" borderId="6" xfId="0" applyFont="1" applyFill="1" applyBorder="1" applyAlignment="1" applyProtection="1">
      <alignment wrapText="1"/>
      <protection hidden="1"/>
    </xf>
    <xf numFmtId="1" fontId="10" fillId="0" borderId="6" xfId="0" applyNumberFormat="1" applyFont="1" applyFill="1" applyBorder="1" applyAlignment="1" applyProtection="1">
      <alignment wrapText="1"/>
      <protection hidden="1"/>
    </xf>
    <xf numFmtId="0" fontId="62" fillId="0" borderId="0" xfId="0" applyFont="1" applyProtection="1">
      <protection hidden="1"/>
    </xf>
    <xf numFmtId="10" fontId="76" fillId="0" borderId="0" xfId="49" applyNumberFormat="1" applyFont="1" applyFill="1" applyBorder="1" applyAlignment="1" applyProtection="1">
      <alignment horizontal="center" vertical="top" wrapText="1"/>
      <protection hidden="1"/>
    </xf>
    <xf numFmtId="4" fontId="0" fillId="0" borderId="0" xfId="0" applyNumberFormat="1" applyFill="1" applyProtection="1">
      <protection hidden="1"/>
    </xf>
    <xf numFmtId="0" fontId="59" fillId="0" borderId="0" xfId="0" applyFont="1" applyBorder="1" applyAlignment="1" applyProtection="1">
      <alignment horizontal="left"/>
      <protection hidden="1"/>
    </xf>
    <xf numFmtId="0" fontId="7" fillId="0" borderId="0" xfId="0" applyFont="1" applyBorder="1" applyAlignment="1" applyProtection="1">
      <alignment horizontal="left"/>
      <protection hidden="1"/>
    </xf>
    <xf numFmtId="10" fontId="19" fillId="0" borderId="6" xfId="0" applyNumberFormat="1" applyFont="1" applyFill="1" applyBorder="1" applyAlignment="1" applyProtection="1">
      <alignment horizontal="left" wrapText="1"/>
      <protection hidden="1"/>
    </xf>
    <xf numFmtId="10" fontId="4" fillId="0" borderId="6" xfId="49" applyNumberFormat="1" applyFont="1" applyFill="1" applyBorder="1" applyAlignment="1" applyProtection="1">
      <alignment horizontal="center" wrapText="1"/>
      <protection hidden="1"/>
    </xf>
    <xf numFmtId="10" fontId="19" fillId="0" borderId="6" xfId="0" applyNumberFormat="1" applyFont="1" applyFill="1" applyBorder="1" applyAlignment="1" applyProtection="1">
      <alignment horizontal="center" wrapText="1"/>
      <protection hidden="1"/>
    </xf>
    <xf numFmtId="0" fontId="42" fillId="16" borderId="5" xfId="0" applyFont="1" applyFill="1" applyBorder="1" applyAlignment="1" applyProtection="1">
      <alignment horizontal="center" vertical="center" wrapText="1"/>
      <protection hidden="1"/>
    </xf>
    <xf numFmtId="0" fontId="42" fillId="0" borderId="21" xfId="0" applyFont="1" applyFill="1" applyBorder="1" applyAlignment="1" applyProtection="1">
      <alignment horizontal="left" vertical="center"/>
      <protection hidden="1"/>
    </xf>
    <xf numFmtId="0" fontId="42" fillId="0" borderId="9" xfId="0" applyFont="1" applyFill="1" applyBorder="1" applyAlignment="1" applyProtection="1">
      <alignment wrapText="1"/>
      <protection hidden="1"/>
    </xf>
    <xf numFmtId="0" fontId="6" fillId="0" borderId="0" xfId="0" applyFont="1" applyFill="1" applyBorder="1" applyProtection="1">
      <protection hidden="1"/>
    </xf>
    <xf numFmtId="4" fontId="13" fillId="0" borderId="0" xfId="0" applyNumberFormat="1" applyFont="1" applyFill="1" applyProtection="1"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47" fillId="0" borderId="0" xfId="0" applyFont="1" applyBorder="1" applyProtection="1">
      <protection hidden="1"/>
    </xf>
    <xf numFmtId="0" fontId="47" fillId="0" borderId="0" xfId="0" applyFont="1" applyAlignment="1" applyProtection="1">
      <alignment wrapText="1"/>
      <protection hidden="1"/>
    </xf>
    <xf numFmtId="0" fontId="51" fillId="0" borderId="0" xfId="0" applyFont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left" vertical="justify" indent="1"/>
      <protection hidden="1"/>
    </xf>
    <xf numFmtId="9" fontId="0" fillId="0" borderId="0" xfId="49" applyNumberFormat="1" applyFont="1" applyFill="1" applyProtection="1">
      <protection hidden="1"/>
    </xf>
    <xf numFmtId="0" fontId="0" fillId="0" borderId="0" xfId="0" applyFill="1" applyBorder="1" applyAlignment="1" applyProtection="1">
      <alignment horizontal="left" indent="1"/>
      <protection hidden="1"/>
    </xf>
    <xf numFmtId="0" fontId="0" fillId="0" borderId="0" xfId="0" applyFill="1" applyBorder="1" applyAlignment="1" applyProtection="1">
      <alignment vertical="justify"/>
      <protection hidden="1"/>
    </xf>
    <xf numFmtId="0" fontId="60" fillId="0" borderId="0" xfId="0" applyFont="1" applyFill="1" applyBorder="1" applyAlignment="1" applyProtection="1">
      <alignment wrapText="1"/>
      <protection hidden="1"/>
    </xf>
    <xf numFmtId="0" fontId="60" fillId="0" borderId="0" xfId="0" applyFont="1" applyFill="1" applyBorder="1" applyAlignment="1" applyProtection="1">
      <alignment horizontal="left" wrapText="1"/>
      <protection hidden="1"/>
    </xf>
    <xf numFmtId="0" fontId="42" fillId="0" borderId="0" xfId="0" applyFont="1" applyBorder="1" applyAlignment="1" applyProtection="1">
      <alignment horizontal="right"/>
      <protection hidden="1"/>
    </xf>
    <xf numFmtId="0" fontId="47" fillId="0" borderId="0" xfId="0" applyFont="1" applyProtection="1">
      <protection hidden="1"/>
    </xf>
    <xf numFmtId="176" fontId="47" fillId="0" borderId="0" xfId="0" applyNumberFormat="1" applyFont="1" applyProtection="1">
      <protection hidden="1"/>
    </xf>
    <xf numFmtId="2" fontId="47" fillId="0" borderId="0" xfId="0" applyNumberFormat="1" applyFont="1" applyProtection="1">
      <protection hidden="1"/>
    </xf>
    <xf numFmtId="0" fontId="0" fillId="0" borderId="0" xfId="0" applyFont="1" applyProtection="1">
      <protection hidden="1"/>
    </xf>
    <xf numFmtId="165" fontId="0" fillId="0" borderId="0" xfId="0" applyNumberFormat="1" applyFont="1" applyProtection="1">
      <protection hidden="1"/>
    </xf>
    <xf numFmtId="0" fontId="51" fillId="0" borderId="0" xfId="0" applyFont="1" applyBorder="1" applyAlignment="1" applyProtection="1">
      <alignment horizontal="center" vertical="top"/>
      <protection hidden="1"/>
    </xf>
    <xf numFmtId="0" fontId="4" fillId="0" borderId="0" xfId="0" applyFont="1" applyProtection="1">
      <protection hidden="1"/>
    </xf>
    <xf numFmtId="165" fontId="0" fillId="0" borderId="0" xfId="0" applyNumberFormat="1" applyProtection="1">
      <protection hidden="1"/>
    </xf>
    <xf numFmtId="0" fontId="0" fillId="0" borderId="0" xfId="0" applyFont="1" applyBorder="1" applyProtection="1">
      <protection hidden="1"/>
    </xf>
    <xf numFmtId="0" fontId="42" fillId="16" borderId="14" xfId="0" applyFont="1" applyFill="1" applyBorder="1" applyAlignment="1" applyProtection="1">
      <alignment horizontal="center" vertical="center" wrapText="1"/>
      <protection hidden="1"/>
    </xf>
    <xf numFmtId="2" fontId="23" fillId="0" borderId="6" xfId="0" applyNumberFormat="1" applyFont="1" applyFill="1" applyBorder="1" applyAlignment="1" applyProtection="1">
      <alignment horizontal="left" wrapText="1"/>
      <protection hidden="1"/>
    </xf>
    <xf numFmtId="4" fontId="42" fillId="0" borderId="6" xfId="0" applyNumberFormat="1" applyFont="1" applyFill="1" applyBorder="1" applyAlignment="1" applyProtection="1">
      <alignment horizontal="center"/>
      <protection hidden="1"/>
    </xf>
    <xf numFmtId="0" fontId="47" fillId="0" borderId="0" xfId="0" applyFont="1" applyFill="1" applyBorder="1" applyProtection="1">
      <protection hidden="1"/>
    </xf>
    <xf numFmtId="0" fontId="4" fillId="0" borderId="6" xfId="0" applyFont="1" applyFill="1" applyBorder="1" applyProtection="1">
      <protection hidden="1"/>
    </xf>
    <xf numFmtId="0" fontId="2" fillId="16" borderId="5" xfId="0" applyFont="1" applyFill="1" applyBorder="1" applyAlignment="1" applyProtection="1">
      <alignment horizontal="center" vertical="center" wrapText="1"/>
      <protection hidden="1"/>
    </xf>
    <xf numFmtId="0" fontId="42" fillId="17" borderId="9" xfId="0" applyFont="1" applyFill="1" applyBorder="1" applyAlignment="1" applyProtection="1">
      <alignment wrapText="1"/>
      <protection hidden="1"/>
    </xf>
    <xf numFmtId="165" fontId="14" fillId="0" borderId="6" xfId="21" applyNumberFormat="1" applyFont="1" applyFill="1" applyBorder="1" applyAlignment="1" applyProtection="1">
      <alignment horizontal="right"/>
      <protection hidden="1"/>
    </xf>
    <xf numFmtId="165" fontId="50" fillId="0" borderId="6" xfId="21" applyNumberFormat="1" applyFont="1" applyFill="1" applyBorder="1" applyAlignment="1" applyProtection="1">
      <alignment horizontal="right"/>
      <protection hidden="1"/>
    </xf>
    <xf numFmtId="165" fontId="47" fillId="0" borderId="6" xfId="21" applyNumberFormat="1" applyFont="1" applyFill="1" applyBorder="1" applyAlignment="1" applyProtection="1">
      <alignment horizontal="right"/>
      <protection hidden="1"/>
    </xf>
    <xf numFmtId="165" fontId="47" fillId="0" borderId="11" xfId="21" applyNumberFormat="1" applyFont="1" applyFill="1" applyBorder="1" applyAlignment="1" applyProtection="1">
      <alignment horizontal="right"/>
      <protection hidden="1"/>
    </xf>
    <xf numFmtId="165" fontId="14" fillId="0" borderId="11" xfId="21" applyNumberFormat="1" applyFont="1" applyFill="1" applyBorder="1" applyAlignment="1" applyProtection="1">
      <alignment horizontal="right"/>
      <protection hidden="1"/>
    </xf>
    <xf numFmtId="0" fontId="55" fillId="0" borderId="0" xfId="21" applyFont="1" applyFill="1" applyBorder="1" applyAlignment="1" applyProtection="1">
      <alignment horizontal="left" vertical="justify" wrapText="1" indent="1"/>
      <protection hidden="1"/>
    </xf>
    <xf numFmtId="4" fontId="47" fillId="0" borderId="0" xfId="21" applyNumberFormat="1" applyFont="1" applyFill="1" applyBorder="1" applyAlignment="1" applyProtection="1">
      <alignment horizontal="right"/>
      <protection hidden="1"/>
    </xf>
    <xf numFmtId="167" fontId="52" fillId="0" borderId="0" xfId="0" applyNumberFormat="1" applyFont="1" applyBorder="1" applyAlignment="1" applyProtection="1">
      <alignment wrapText="1"/>
      <protection hidden="1"/>
    </xf>
    <xf numFmtId="0" fontId="42" fillId="20" borderId="0" xfId="0" applyFont="1" applyFill="1" applyBorder="1" applyAlignment="1" applyProtection="1">
      <protection hidden="1"/>
    </xf>
    <xf numFmtId="4" fontId="14" fillId="20" borderId="0" xfId="21" applyNumberFormat="1" applyFont="1" applyFill="1" applyBorder="1" applyAlignment="1" applyProtection="1">
      <alignment horizontal="right"/>
      <protection hidden="1"/>
    </xf>
    <xf numFmtId="2" fontId="14" fillId="20" borderId="0" xfId="0" applyNumberFormat="1" applyFont="1" applyFill="1" applyBorder="1" applyAlignment="1" applyProtection="1">
      <alignment horizontal="right"/>
      <protection hidden="1"/>
    </xf>
    <xf numFmtId="0" fontId="42" fillId="20" borderId="5" xfId="0" applyFont="1" applyFill="1" applyBorder="1" applyAlignment="1" applyProtection="1">
      <alignment horizontal="center" vertical="center" wrapText="1"/>
      <protection hidden="1"/>
    </xf>
    <xf numFmtId="0" fontId="4" fillId="20" borderId="0" xfId="0" applyFont="1" applyFill="1" applyBorder="1" applyProtection="1">
      <protection hidden="1"/>
    </xf>
    <xf numFmtId="0" fontId="42" fillId="20" borderId="14" xfId="0" applyFont="1" applyFill="1" applyBorder="1" applyAlignment="1" applyProtection="1">
      <alignment horizontal="center" vertical="center" wrapText="1"/>
      <protection hidden="1"/>
    </xf>
    <xf numFmtId="3" fontId="42" fillId="20" borderId="9" xfId="21" applyNumberFormat="1" applyFont="1" applyFill="1" applyBorder="1" applyAlignment="1" applyProtection="1">
      <alignment horizontal="left" wrapText="1"/>
      <protection hidden="1"/>
    </xf>
    <xf numFmtId="3" fontId="42" fillId="20" borderId="6" xfId="21" applyNumberFormat="1" applyFont="1" applyFill="1" applyBorder="1" applyAlignment="1" applyProtection="1">
      <alignment horizontal="right"/>
      <protection hidden="1"/>
    </xf>
    <xf numFmtId="4" fontId="42" fillId="20" borderId="6" xfId="21" applyNumberFormat="1" applyFont="1" applyFill="1" applyBorder="1" applyAlignment="1" applyProtection="1">
      <alignment horizontal="right"/>
      <protection hidden="1"/>
    </xf>
    <xf numFmtId="0" fontId="14" fillId="20" borderId="9" xfId="0" applyFont="1" applyFill="1" applyBorder="1" applyAlignment="1" applyProtection="1">
      <alignment horizontal="left" indent="1"/>
      <protection hidden="1"/>
    </xf>
    <xf numFmtId="1" fontId="14" fillId="20" borderId="6" xfId="0" applyNumberFormat="1" applyFont="1" applyFill="1" applyBorder="1" applyProtection="1">
      <protection hidden="1"/>
    </xf>
    <xf numFmtId="2" fontId="14" fillId="20" borderId="6" xfId="0" applyNumberFormat="1" applyFont="1" applyFill="1" applyBorder="1" applyProtection="1">
      <protection hidden="1"/>
    </xf>
    <xf numFmtId="167" fontId="14" fillId="20" borderId="6" xfId="0" applyNumberFormat="1" applyFont="1" applyFill="1" applyBorder="1" applyProtection="1">
      <protection hidden="1"/>
    </xf>
    <xf numFmtId="0" fontId="14" fillId="20" borderId="24" xfId="0" applyFont="1" applyFill="1" applyBorder="1" applyAlignment="1" applyProtection="1">
      <alignment horizontal="left" indent="1"/>
      <protection hidden="1"/>
    </xf>
    <xf numFmtId="167" fontId="14" fillId="20" borderId="11" xfId="0" applyNumberFormat="1" applyFont="1" applyFill="1" applyBorder="1" applyProtection="1">
      <protection hidden="1"/>
    </xf>
    <xf numFmtId="2" fontId="14" fillId="20" borderId="11" xfId="0" applyNumberFormat="1" applyFont="1" applyFill="1" applyBorder="1" applyProtection="1">
      <protection hidden="1"/>
    </xf>
    <xf numFmtId="2" fontId="14" fillId="20" borderId="0" xfId="0" applyNumberFormat="1" applyFont="1" applyFill="1" applyBorder="1" applyAlignment="1" applyProtection="1">
      <protection hidden="1"/>
    </xf>
    <xf numFmtId="2" fontId="42" fillId="20" borderId="0" xfId="0" applyNumberFormat="1" applyFont="1" applyFill="1" applyBorder="1" applyAlignment="1" applyProtection="1">
      <protection hidden="1"/>
    </xf>
    <xf numFmtId="0" fontId="50" fillId="0" borderId="0" xfId="0" applyFont="1" applyFill="1" applyBorder="1" applyAlignment="1" applyProtection="1">
      <alignment horizontal="left" indent="1"/>
      <protection hidden="1"/>
    </xf>
    <xf numFmtId="2" fontId="14" fillId="0" borderId="0" xfId="0" applyNumberFormat="1" applyFont="1" applyFill="1" applyBorder="1" applyAlignment="1" applyProtection="1">
      <protection hidden="1"/>
    </xf>
    <xf numFmtId="2" fontId="42" fillId="0" borderId="0" xfId="0" applyNumberFormat="1" applyFont="1" applyFill="1" applyBorder="1" applyAlignment="1" applyProtection="1">
      <protection hidden="1"/>
    </xf>
    <xf numFmtId="0" fontId="42" fillId="0" borderId="0" xfId="0" applyFont="1" applyFill="1" applyBorder="1" applyAlignment="1" applyProtection="1">
      <protection hidden="1"/>
    </xf>
    <xf numFmtId="2" fontId="42" fillId="0" borderId="0" xfId="0" applyNumberFormat="1" applyFont="1" applyFill="1" applyBorder="1" applyAlignment="1" applyProtection="1">
      <alignment horizontal="right"/>
      <protection hidden="1"/>
    </xf>
    <xf numFmtId="0" fontId="42" fillId="16" borderId="34" xfId="0" applyFont="1" applyFill="1" applyBorder="1" applyAlignment="1" applyProtection="1">
      <alignment vertical="center" wrapText="1"/>
      <protection hidden="1"/>
    </xf>
    <xf numFmtId="0" fontId="42" fillId="16" borderId="35" xfId="0" applyFont="1" applyFill="1" applyBorder="1" applyAlignment="1" applyProtection="1">
      <alignment vertical="center" wrapText="1"/>
      <protection hidden="1"/>
    </xf>
    <xf numFmtId="0" fontId="42" fillId="16" borderId="36" xfId="0" applyFont="1" applyFill="1" applyBorder="1" applyAlignment="1" applyProtection="1">
      <alignment vertical="center" wrapText="1"/>
      <protection hidden="1"/>
    </xf>
    <xf numFmtId="0" fontId="4" fillId="0" borderId="0" xfId="0" applyFont="1" applyFill="1" applyBorder="1" applyProtection="1">
      <protection hidden="1"/>
    </xf>
    <xf numFmtId="3" fontId="42" fillId="0" borderId="9" xfId="21" applyNumberFormat="1" applyFont="1" applyFill="1" applyBorder="1" applyAlignment="1" applyProtection="1">
      <alignment horizontal="left" wrapText="1"/>
      <protection hidden="1"/>
    </xf>
    <xf numFmtId="3" fontId="42" fillId="0" borderId="6" xfId="21" applyNumberFormat="1" applyFont="1" applyFill="1" applyBorder="1" applyAlignment="1" applyProtection="1">
      <alignment horizontal="right"/>
      <protection hidden="1"/>
    </xf>
    <xf numFmtId="4" fontId="42" fillId="0" borderId="6" xfId="21" applyNumberFormat="1" applyFont="1" applyFill="1" applyBorder="1" applyAlignment="1" applyProtection="1">
      <alignment horizontal="right"/>
      <protection hidden="1"/>
    </xf>
    <xf numFmtId="0" fontId="14" fillId="0" borderId="9" xfId="0" applyFont="1" applyFill="1" applyBorder="1" applyAlignment="1" applyProtection="1">
      <alignment horizontal="left" indent="1"/>
      <protection hidden="1"/>
    </xf>
    <xf numFmtId="1" fontId="14" fillId="0" borderId="6" xfId="0" applyNumberFormat="1" applyFont="1" applyFill="1" applyBorder="1" applyProtection="1">
      <protection hidden="1"/>
    </xf>
    <xf numFmtId="2" fontId="14" fillId="0" borderId="6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1"/>
      <protection hidden="1"/>
    </xf>
    <xf numFmtId="4" fontId="4" fillId="0" borderId="0" xfId="21" applyNumberFormat="1" applyFont="1" applyFill="1" applyBorder="1" applyAlignment="1" applyProtection="1">
      <alignment horizontal="right"/>
      <protection hidden="1"/>
    </xf>
    <xf numFmtId="2" fontId="4" fillId="0" borderId="0" xfId="0" applyNumberFormat="1" applyFont="1" applyFill="1" applyBorder="1" applyAlignment="1" applyProtection="1">
      <alignment horizontal="right"/>
      <protection hidden="1"/>
    </xf>
    <xf numFmtId="0" fontId="64" fillId="0" borderId="0" xfId="0" applyFont="1" applyBorder="1" applyProtection="1">
      <protection hidden="1"/>
    </xf>
    <xf numFmtId="1" fontId="4" fillId="0" borderId="0" xfId="0" applyNumberFormat="1" applyFont="1" applyFill="1" applyBorder="1" applyAlignment="1" applyProtection="1">
      <alignment horizontal="right"/>
      <protection hidden="1"/>
    </xf>
    <xf numFmtId="0" fontId="25" fillId="0" borderId="0" xfId="0" applyFont="1" applyBorder="1" applyAlignment="1" applyProtection="1">
      <alignment vertical="top" wrapText="1"/>
      <protection hidden="1"/>
    </xf>
    <xf numFmtId="0" fontId="25" fillId="0" borderId="0" xfId="0" applyFont="1" applyBorder="1" applyAlignment="1" applyProtection="1">
      <alignment horizontal="center" vertical="top" wrapText="1"/>
      <protection hidden="1"/>
    </xf>
    <xf numFmtId="165" fontId="16" fillId="0" borderId="6" xfId="0" applyNumberFormat="1" applyFont="1" applyBorder="1" applyAlignment="1" applyProtection="1">
      <alignment wrapText="1"/>
      <protection hidden="1"/>
    </xf>
    <xf numFmtId="165" fontId="79" fillId="0" borderId="6" xfId="0" applyNumberFormat="1" applyFont="1" applyBorder="1" applyAlignment="1" applyProtection="1">
      <alignment wrapText="1"/>
      <protection hidden="1"/>
    </xf>
    <xf numFmtId="165" fontId="79" fillId="0" borderId="6" xfId="0" applyNumberFormat="1" applyFont="1" applyBorder="1" applyProtection="1">
      <protection hidden="1"/>
    </xf>
    <xf numFmtId="165" fontId="79" fillId="0" borderId="6" xfId="0" applyNumberFormat="1" applyFont="1" applyFill="1" applyBorder="1" applyProtection="1">
      <protection hidden="1"/>
    </xf>
    <xf numFmtId="2" fontId="79" fillId="0" borderId="6" xfId="0" applyNumberFormat="1" applyFont="1" applyBorder="1" applyProtection="1">
      <protection hidden="1"/>
    </xf>
    <xf numFmtId="0" fontId="2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left" indent="1"/>
      <protection hidden="1"/>
    </xf>
    <xf numFmtId="0" fontId="14" fillId="0" borderId="0" xfId="0" applyFont="1" applyProtection="1">
      <protection hidden="1"/>
    </xf>
    <xf numFmtId="0" fontId="4" fillId="0" borderId="0" xfId="0" applyFont="1" applyFill="1" applyBorder="1" applyAlignment="1" applyProtection="1">
      <alignment horizontal="left" indent="2"/>
      <protection hidden="1"/>
    </xf>
    <xf numFmtId="0" fontId="2" fillId="0" borderId="0" xfId="0" applyFont="1" applyFill="1" applyBorder="1" applyAlignment="1" applyProtection="1">
      <protection hidden="1"/>
    </xf>
    <xf numFmtId="0" fontId="0" fillId="0" borderId="0" xfId="0" applyFill="1" applyAlignment="1" applyProtection="1">
      <alignment horizontal="left" indent="1"/>
      <protection hidden="1"/>
    </xf>
    <xf numFmtId="0" fontId="64" fillId="0" borderId="0" xfId="0" applyFont="1" applyFill="1" applyProtection="1">
      <protection hidden="1"/>
    </xf>
    <xf numFmtId="0" fontId="4" fillId="0" borderId="0" xfId="45" applyFont="1" applyProtection="1">
      <protection hidden="1"/>
    </xf>
    <xf numFmtId="0" fontId="4" fillId="0" borderId="0" xfId="45" applyFont="1" applyAlignment="1" applyProtection="1">
      <alignment horizontal="center"/>
      <protection hidden="1"/>
    </xf>
    <xf numFmtId="0" fontId="22" fillId="0" borderId="0" xfId="45" applyFont="1" applyProtection="1">
      <protection hidden="1"/>
    </xf>
    <xf numFmtId="171" fontId="18" fillId="0" borderId="0" xfId="45" applyNumberFormat="1" applyFont="1" applyProtection="1">
      <protection hidden="1"/>
    </xf>
    <xf numFmtId="0" fontId="6" fillId="21" borderId="37" xfId="45" applyFont="1" applyFill="1" applyBorder="1" applyAlignment="1" applyProtection="1">
      <alignment horizontal="center" wrapText="1"/>
      <protection hidden="1"/>
    </xf>
    <xf numFmtId="0" fontId="6" fillId="21" borderId="38" xfId="45" applyFont="1" applyFill="1" applyBorder="1" applyAlignment="1" applyProtection="1">
      <alignment horizontal="center" wrapText="1"/>
      <protection hidden="1"/>
    </xf>
    <xf numFmtId="0" fontId="6" fillId="21" borderId="39" xfId="45" applyFont="1" applyFill="1" applyBorder="1" applyAlignment="1" applyProtection="1">
      <alignment horizontal="center" wrapText="1"/>
      <protection hidden="1"/>
    </xf>
    <xf numFmtId="0" fontId="6" fillId="21" borderId="0" xfId="45" applyFont="1" applyFill="1" applyBorder="1" applyAlignment="1" applyProtection="1">
      <alignment horizontal="center" wrapText="1"/>
      <protection hidden="1"/>
    </xf>
    <xf numFmtId="0" fontId="6" fillId="21" borderId="20" xfId="45" applyFont="1" applyFill="1" applyBorder="1" applyAlignment="1" applyProtection="1">
      <alignment horizontal="center" wrapText="1"/>
      <protection hidden="1"/>
    </xf>
    <xf numFmtId="0" fontId="6" fillId="21" borderId="40" xfId="45" applyFont="1" applyFill="1" applyBorder="1" applyAlignment="1" applyProtection="1">
      <alignment horizontal="center" wrapText="1"/>
      <protection hidden="1"/>
    </xf>
    <xf numFmtId="0" fontId="43" fillId="0" borderId="6" xfId="45" applyFont="1" applyBorder="1" applyAlignment="1" applyProtection="1">
      <alignment horizontal="center"/>
      <protection hidden="1"/>
    </xf>
    <xf numFmtId="0" fontId="43" fillId="0" borderId="6" xfId="45" applyFont="1" applyBorder="1" applyAlignment="1" applyProtection="1">
      <alignment wrapText="1"/>
      <protection hidden="1"/>
    </xf>
    <xf numFmtId="2" fontId="43" fillId="0" borderId="6" xfId="45" applyNumberFormat="1" applyFont="1" applyFill="1" applyBorder="1" applyAlignment="1" applyProtection="1">
      <alignment wrapText="1"/>
      <protection hidden="1"/>
    </xf>
    <xf numFmtId="171" fontId="18" fillId="0" borderId="0" xfId="45" applyNumberFormat="1" applyFont="1" applyFill="1" applyProtection="1">
      <protection hidden="1"/>
    </xf>
    <xf numFmtId="0" fontId="43" fillId="0" borderId="6" xfId="45" applyFont="1" applyFill="1" applyBorder="1" applyAlignment="1" applyProtection="1">
      <alignment wrapText="1"/>
      <protection hidden="1"/>
    </xf>
    <xf numFmtId="0" fontId="17" fillId="0" borderId="6" xfId="45" applyFont="1" applyBorder="1" applyAlignment="1" applyProtection="1">
      <alignment horizontal="center"/>
      <protection hidden="1"/>
    </xf>
    <xf numFmtId="0" fontId="17" fillId="0" borderId="6" xfId="45" applyFont="1" applyFill="1" applyBorder="1" applyAlignment="1" applyProtection="1">
      <alignment horizontal="left" wrapText="1" indent="2"/>
      <protection hidden="1"/>
    </xf>
    <xf numFmtId="2" fontId="17" fillId="0" borderId="6" xfId="45" applyNumberFormat="1" applyFont="1" applyFill="1" applyBorder="1" applyAlignment="1" applyProtection="1">
      <alignment wrapText="1"/>
      <protection hidden="1"/>
    </xf>
    <xf numFmtId="0" fontId="17" fillId="0" borderId="6" xfId="45" applyFont="1" applyBorder="1" applyAlignment="1" applyProtection="1">
      <alignment wrapText="1"/>
      <protection hidden="1"/>
    </xf>
    <xf numFmtId="0" fontId="17" fillId="0" borderId="6" xfId="45" applyFont="1" applyFill="1" applyBorder="1" applyAlignment="1" applyProtection="1">
      <alignment horizontal="center"/>
      <protection hidden="1"/>
    </xf>
    <xf numFmtId="0" fontId="43" fillId="6" borderId="6" xfId="45" applyFont="1" applyFill="1" applyBorder="1" applyAlignment="1" applyProtection="1">
      <alignment wrapText="1"/>
      <protection hidden="1"/>
    </xf>
    <xf numFmtId="0" fontId="43" fillId="6" borderId="6" xfId="45" applyFont="1" applyFill="1" applyBorder="1" applyAlignment="1" applyProtection="1">
      <alignment horizontal="center"/>
      <protection hidden="1"/>
    </xf>
    <xf numFmtId="0" fontId="17" fillId="6" borderId="6" xfId="45" applyFont="1" applyFill="1" applyBorder="1" applyAlignment="1" applyProtection="1">
      <alignment wrapText="1"/>
      <protection hidden="1"/>
    </xf>
    <xf numFmtId="0" fontId="17" fillId="6" borderId="6" xfId="45" applyFont="1" applyFill="1" applyBorder="1" applyAlignment="1" applyProtection="1">
      <alignment horizontal="center"/>
      <protection hidden="1"/>
    </xf>
    <xf numFmtId="9" fontId="4" fillId="0" borderId="6" xfId="51" applyFont="1" applyFill="1" applyBorder="1" applyAlignment="1" applyProtection="1">
      <alignment wrapText="1"/>
      <protection hidden="1"/>
    </xf>
    <xf numFmtId="9" fontId="4" fillId="0" borderId="6" xfId="51" applyFill="1" applyBorder="1" applyAlignment="1" applyProtection="1">
      <alignment wrapText="1"/>
      <protection hidden="1"/>
    </xf>
    <xf numFmtId="0" fontId="4" fillId="0" borderId="26" xfId="45" applyFont="1" applyBorder="1" applyProtection="1">
      <protection hidden="1"/>
    </xf>
    <xf numFmtId="0" fontId="4" fillId="0" borderId="26" xfId="45" applyFont="1" applyBorder="1" applyAlignment="1" applyProtection="1">
      <alignment horizontal="center"/>
      <protection hidden="1"/>
    </xf>
    <xf numFmtId="166" fontId="46" fillId="0" borderId="0" xfId="45" applyNumberFormat="1" applyFont="1" applyBorder="1" applyProtection="1">
      <protection hidden="1"/>
    </xf>
    <xf numFmtId="0" fontId="4" fillId="0" borderId="0" xfId="45" applyFont="1" applyFill="1" applyBorder="1" applyProtection="1">
      <protection hidden="1"/>
    </xf>
    <xf numFmtId="0" fontId="22" fillId="0" borderId="0" xfId="45" applyFont="1" applyFill="1" applyBorder="1" applyProtection="1">
      <protection hidden="1"/>
    </xf>
    <xf numFmtId="171" fontId="18" fillId="0" borderId="0" xfId="45" applyNumberFormat="1" applyFont="1" applyFill="1" applyBorder="1" applyProtection="1">
      <protection hidden="1"/>
    </xf>
    <xf numFmtId="0" fontId="43" fillId="0" borderId="0" xfId="45" applyFont="1" applyFill="1" applyBorder="1" applyAlignment="1" applyProtection="1">
      <alignment vertical="center" wrapText="1"/>
      <protection hidden="1"/>
    </xf>
    <xf numFmtId="0" fontId="50" fillId="0" borderId="0" xfId="45" applyFont="1" applyFill="1" applyBorder="1" applyAlignment="1" applyProtection="1">
      <alignment horizontal="center" vertical="center" wrapText="1"/>
      <protection hidden="1"/>
    </xf>
    <xf numFmtId="0" fontId="42" fillId="0" borderId="0" xfId="45" applyFont="1" applyFill="1" applyBorder="1" applyAlignment="1" applyProtection="1">
      <alignment horizontal="center" vertical="center" wrapText="1"/>
      <protection hidden="1"/>
    </xf>
    <xf numFmtId="0" fontId="43" fillId="0" borderId="0" xfId="45" applyFont="1" applyFill="1" applyBorder="1" applyAlignment="1" applyProtection="1">
      <alignment horizontal="center" vertical="center" wrapText="1"/>
      <protection hidden="1"/>
    </xf>
    <xf numFmtId="0" fontId="43" fillId="0" borderId="0" xfId="45" applyFont="1" applyFill="1" applyBorder="1" applyAlignment="1" applyProtection="1">
      <alignment wrapText="1"/>
      <protection hidden="1"/>
    </xf>
    <xf numFmtId="0" fontId="14" fillId="0" borderId="0" xfId="45" applyFont="1" applyFill="1" applyBorder="1" applyAlignment="1" applyProtection="1">
      <alignment horizontal="center"/>
      <protection hidden="1"/>
    </xf>
    <xf numFmtId="0" fontId="14" fillId="0" borderId="0" xfId="45" applyFont="1" applyFill="1" applyBorder="1" applyProtection="1">
      <protection hidden="1"/>
    </xf>
    <xf numFmtId="0" fontId="58" fillId="0" borderId="41" xfId="0" applyFont="1" applyBorder="1" applyAlignment="1">
      <alignment wrapText="1"/>
    </xf>
    <xf numFmtId="0" fontId="58" fillId="0" borderId="42" xfId="0" applyFont="1" applyBorder="1" applyAlignment="1">
      <alignment horizontal="center"/>
    </xf>
    <xf numFmtId="168" fontId="58" fillId="17" borderId="43" xfId="0" applyNumberFormat="1" applyFont="1" applyFill="1" applyBorder="1" applyAlignment="1">
      <alignment horizontal="center"/>
    </xf>
    <xf numFmtId="0" fontId="4" fillId="0" borderId="6" xfId="0" applyFont="1" applyBorder="1" applyAlignment="1">
      <alignment wrapText="1"/>
    </xf>
    <xf numFmtId="0" fontId="42" fillId="16" borderId="5" xfId="0" applyFont="1" applyFill="1" applyBorder="1" applyAlignment="1">
      <alignment horizontal="center" vertical="center"/>
    </xf>
    <xf numFmtId="0" fontId="42" fillId="16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 applyProtection="1">
      <protection hidden="1"/>
    </xf>
    <xf numFmtId="4" fontId="42" fillId="0" borderId="0" xfId="0" applyNumberFormat="1" applyFont="1" applyFill="1" applyBorder="1" applyAlignment="1" applyProtection="1">
      <protection hidden="1"/>
    </xf>
    <xf numFmtId="0" fontId="65" fillId="0" borderId="0" xfId="0" applyFont="1" applyProtection="1">
      <protection hidden="1"/>
    </xf>
    <xf numFmtId="0" fontId="65" fillId="0" borderId="0" xfId="0" applyFont="1" applyBorder="1" applyProtection="1">
      <protection hidden="1"/>
    </xf>
    <xf numFmtId="0" fontId="0" fillId="0" borderId="6" xfId="0" applyFont="1" applyFill="1" applyBorder="1"/>
    <xf numFmtId="0" fontId="95" fillId="0" borderId="0" xfId="0" applyFont="1"/>
    <xf numFmtId="0" fontId="58" fillId="0" borderId="6" xfId="0" applyFont="1" applyFill="1" applyBorder="1" applyAlignment="1"/>
    <xf numFmtId="2" fontId="58" fillId="0" borderId="44" xfId="0" applyNumberFormat="1" applyFont="1" applyFill="1" applyBorder="1" applyAlignment="1">
      <alignment horizontal="center"/>
    </xf>
    <xf numFmtId="0" fontId="51" fillId="0" borderId="0" xfId="0" applyFont="1" applyFill="1" applyBorder="1"/>
    <xf numFmtId="0" fontId="42" fillId="16" borderId="15" xfId="0" applyFont="1" applyFill="1" applyBorder="1" applyAlignment="1" applyProtection="1">
      <alignment horizontal="center" vertical="center" wrapText="1"/>
      <protection hidden="1"/>
    </xf>
    <xf numFmtId="0" fontId="97" fillId="0" borderId="6" xfId="0" applyFont="1" applyBorder="1"/>
    <xf numFmtId="2" fontId="98" fillId="0" borderId="6" xfId="0" applyNumberFormat="1" applyFont="1" applyFill="1" applyBorder="1" applyAlignment="1">
      <alignment horizontal="center" vertical="center" wrapText="1"/>
    </xf>
    <xf numFmtId="2" fontId="94" fillId="0" borderId="6" xfId="0" applyNumberFormat="1" applyFont="1" applyBorder="1" applyAlignment="1">
      <alignment horizontal="center"/>
    </xf>
    <xf numFmtId="2" fontId="98" fillId="17" borderId="6" xfId="0" applyNumberFormat="1" applyFont="1" applyFill="1" applyBorder="1" applyAlignment="1">
      <alignment horizontal="center" vertical="center" wrapText="1"/>
    </xf>
    <xf numFmtId="2" fontId="98" fillId="17" borderId="8" xfId="0" applyNumberFormat="1" applyFont="1" applyFill="1" applyBorder="1" applyAlignment="1">
      <alignment horizontal="center" vertical="center" wrapText="1"/>
    </xf>
    <xf numFmtId="2" fontId="98" fillId="17" borderId="22" xfId="0" applyNumberFormat="1" applyFont="1" applyFill="1" applyBorder="1" applyAlignment="1">
      <alignment horizontal="center" vertical="center" wrapText="1"/>
    </xf>
    <xf numFmtId="2" fontId="98" fillId="0" borderId="22" xfId="0" applyNumberFormat="1" applyFont="1" applyFill="1" applyBorder="1" applyAlignment="1">
      <alignment horizontal="center" vertical="center" wrapText="1"/>
    </xf>
    <xf numFmtId="2" fontId="98" fillId="17" borderId="11" xfId="0" applyNumberFormat="1" applyFont="1" applyFill="1" applyBorder="1" applyAlignment="1">
      <alignment horizontal="center" vertical="center" wrapText="1"/>
    </xf>
    <xf numFmtId="2" fontId="94" fillId="0" borderId="22" xfId="0" applyNumberFormat="1" applyFont="1" applyBorder="1" applyAlignment="1">
      <alignment horizontal="center"/>
    </xf>
    <xf numFmtId="2" fontId="98" fillId="17" borderId="6" xfId="0" applyNumberFormat="1" applyFont="1" applyFill="1" applyBorder="1" applyAlignment="1">
      <alignment horizontal="center" vertical="top" wrapText="1"/>
    </xf>
    <xf numFmtId="0" fontId="97" fillId="0" borderId="10" xfId="0" applyFont="1" applyFill="1" applyBorder="1" applyAlignment="1">
      <alignment horizontal="center"/>
    </xf>
    <xf numFmtId="2" fontId="99" fillId="0" borderId="6" xfId="45" applyNumberFormat="1" applyFont="1" applyFill="1" applyBorder="1" applyAlignment="1" applyProtection="1">
      <alignment wrapText="1"/>
      <protection hidden="1"/>
    </xf>
    <xf numFmtId="2" fontId="100" fillId="0" borderId="6" xfId="45" applyNumberFormat="1" applyFont="1" applyFill="1" applyBorder="1" applyAlignment="1" applyProtection="1">
      <alignment wrapText="1"/>
      <protection hidden="1"/>
    </xf>
    <xf numFmtId="10" fontId="93" fillId="0" borderId="6" xfId="51" applyNumberFormat="1" applyFont="1" applyFill="1" applyBorder="1" applyAlignment="1" applyProtection="1">
      <alignment wrapText="1"/>
      <protection hidden="1"/>
    </xf>
    <xf numFmtId="168" fontId="4" fillId="0" borderId="6" xfId="51" applyNumberFormat="1" applyFont="1" applyFill="1" applyBorder="1" applyAlignment="1" applyProtection="1">
      <alignment wrapText="1"/>
      <protection hidden="1"/>
    </xf>
    <xf numFmtId="168" fontId="4" fillId="0" borderId="6" xfId="51" applyNumberFormat="1" applyFill="1" applyBorder="1" applyAlignment="1" applyProtection="1">
      <alignment wrapText="1"/>
      <protection hidden="1"/>
    </xf>
    <xf numFmtId="165" fontId="102" fillId="0" borderId="0" xfId="0" applyNumberFormat="1" applyFont="1" applyFill="1" applyBorder="1" applyAlignment="1">
      <alignment horizontal="right"/>
    </xf>
    <xf numFmtId="165" fontId="101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Protection="1">
      <protection hidden="1"/>
    </xf>
    <xf numFmtId="0" fontId="0" fillId="18" borderId="0" xfId="0" applyFill="1"/>
    <xf numFmtId="0" fontId="0" fillId="0" borderId="6" xfId="0" applyFont="1" applyFill="1" applyBorder="1" applyAlignment="1">
      <alignment wrapText="1"/>
    </xf>
    <xf numFmtId="175" fontId="4" fillId="0" borderId="6" xfId="51" applyNumberFormat="1" applyFill="1" applyBorder="1" applyAlignment="1" applyProtection="1">
      <alignment wrapText="1"/>
      <protection hidden="1"/>
    </xf>
    <xf numFmtId="175" fontId="4" fillId="0" borderId="6" xfId="51" applyNumberFormat="1" applyFont="1" applyFill="1" applyBorder="1" applyAlignment="1" applyProtection="1">
      <alignment wrapText="1"/>
      <protection hidden="1"/>
    </xf>
    <xf numFmtId="175" fontId="96" fillId="0" borderId="6" xfId="51" applyNumberFormat="1" applyFont="1" applyFill="1" applyBorder="1" applyAlignment="1" applyProtection="1">
      <alignment wrapText="1"/>
      <protection hidden="1"/>
    </xf>
    <xf numFmtId="175" fontId="14" fillId="0" borderId="0" xfId="0" applyNumberFormat="1" applyFont="1" applyProtection="1">
      <protection hidden="1"/>
    </xf>
    <xf numFmtId="4" fontId="9" fillId="17" borderId="0" xfId="0" applyNumberFormat="1" applyFont="1" applyFill="1" applyBorder="1" applyAlignment="1" applyProtection="1">
      <alignment horizontal="center"/>
      <protection hidden="1"/>
    </xf>
    <xf numFmtId="166" fontId="10" fillId="0" borderId="6" xfId="0" applyNumberFormat="1" applyFont="1" applyFill="1" applyBorder="1" applyAlignment="1" applyProtection="1">
      <alignment horizontal="center"/>
      <protection hidden="1"/>
    </xf>
    <xf numFmtId="166" fontId="10" fillId="17" borderId="6" xfId="0" applyNumberFormat="1" applyFont="1" applyFill="1" applyBorder="1" applyAlignment="1" applyProtection="1">
      <alignment horizontal="center"/>
      <protection hidden="1"/>
    </xf>
    <xf numFmtId="166" fontId="9" fillId="0" borderId="6" xfId="0" applyNumberFormat="1" applyFont="1" applyFill="1" applyBorder="1" applyAlignment="1" applyProtection="1">
      <alignment horizontal="center"/>
      <protection hidden="1"/>
    </xf>
    <xf numFmtId="4" fontId="9" fillId="17" borderId="6" xfId="0" applyNumberFormat="1" applyFont="1" applyFill="1" applyBorder="1" applyAlignment="1" applyProtection="1">
      <alignment horizontal="center"/>
      <protection hidden="1"/>
    </xf>
    <xf numFmtId="0" fontId="2" fillId="17" borderId="0" xfId="0" applyFont="1" applyFill="1" applyBorder="1" applyProtection="1">
      <protection hidden="1"/>
    </xf>
    <xf numFmtId="0" fontId="9" fillId="17" borderId="6" xfId="0" applyFont="1" applyFill="1" applyBorder="1" applyAlignment="1" applyProtection="1">
      <alignment horizontal="left" wrapText="1"/>
      <protection hidden="1"/>
    </xf>
    <xf numFmtId="0" fontId="9" fillId="17" borderId="6" xfId="0" applyFont="1" applyFill="1" applyBorder="1" applyAlignment="1" applyProtection="1">
      <alignment horizontal="center" wrapText="1"/>
      <protection hidden="1"/>
    </xf>
    <xf numFmtId="166" fontId="9" fillId="17" borderId="6" xfId="0" applyNumberFormat="1" applyFont="1" applyFill="1" applyBorder="1" applyAlignment="1" applyProtection="1">
      <alignment horizontal="center" wrapText="1"/>
      <protection hidden="1"/>
    </xf>
    <xf numFmtId="4" fontId="68" fillId="17" borderId="0" xfId="0" applyNumberFormat="1" applyFont="1" applyFill="1"/>
    <xf numFmtId="0" fontId="68" fillId="17" borderId="0" xfId="0" applyFont="1" applyFill="1" applyBorder="1" applyAlignment="1">
      <alignment horizontal="left" vertical="center"/>
    </xf>
    <xf numFmtId="2" fontId="68" fillId="17" borderId="0" xfId="0" applyNumberFormat="1" applyFont="1" applyFill="1"/>
    <xf numFmtId="0" fontId="68" fillId="17" borderId="0" xfId="0" applyFont="1" applyFill="1"/>
    <xf numFmtId="0" fontId="2" fillId="17" borderId="0" xfId="0" applyFont="1" applyFill="1"/>
    <xf numFmtId="0" fontId="0" fillId="17" borderId="0" xfId="0" applyFill="1" applyBorder="1" applyProtection="1">
      <protection hidden="1"/>
    </xf>
    <xf numFmtId="0" fontId="0" fillId="17" borderId="0" xfId="0" applyFill="1"/>
    <xf numFmtId="0" fontId="9" fillId="17" borderId="5" xfId="0" applyFont="1" applyFill="1" applyBorder="1" applyAlignment="1" applyProtection="1">
      <alignment horizontal="center" vertical="center"/>
      <protection hidden="1"/>
    </xf>
    <xf numFmtId="0" fontId="9" fillId="17" borderId="45" xfId="0" applyFont="1" applyFill="1" applyBorder="1" applyAlignment="1" applyProtection="1">
      <alignment horizontal="center" vertical="center" wrapText="1"/>
      <protection hidden="1"/>
    </xf>
    <xf numFmtId="0" fontId="9" fillId="17" borderId="5" xfId="0" applyFont="1" applyFill="1" applyBorder="1" applyAlignment="1" applyProtection="1">
      <alignment horizontal="center" vertical="center" wrapText="1"/>
      <protection hidden="1"/>
    </xf>
    <xf numFmtId="0" fontId="8" fillId="17" borderId="0" xfId="0" applyFont="1" applyFill="1" applyAlignment="1" applyProtection="1">
      <alignment horizontal="center" wrapText="1"/>
      <protection hidden="1"/>
    </xf>
    <xf numFmtId="0" fontId="9" fillId="17" borderId="6" xfId="0" applyFont="1" applyFill="1" applyBorder="1" applyAlignment="1" applyProtection="1">
      <alignment horizontal="center"/>
      <protection hidden="1"/>
    </xf>
    <xf numFmtId="166" fontId="9" fillId="17" borderId="6" xfId="0" applyNumberFormat="1" applyFont="1" applyFill="1" applyBorder="1" applyAlignment="1" applyProtection="1">
      <alignment horizontal="center"/>
      <protection hidden="1"/>
    </xf>
    <xf numFmtId="2" fontId="10" fillId="17" borderId="6" xfId="0" applyNumberFormat="1" applyFont="1" applyFill="1" applyBorder="1" applyAlignment="1" applyProtection="1">
      <alignment horizontal="left" indent="2"/>
      <protection hidden="1"/>
    </xf>
    <xf numFmtId="0" fontId="10" fillId="17" borderId="6" xfId="0" applyFont="1" applyFill="1" applyBorder="1" applyAlignment="1" applyProtection="1">
      <alignment horizontal="center"/>
      <protection hidden="1"/>
    </xf>
    <xf numFmtId="2" fontId="0" fillId="17" borderId="0" xfId="0" applyNumberFormat="1" applyFill="1"/>
    <xf numFmtId="2" fontId="10" fillId="17" borderId="6" xfId="0" applyNumberFormat="1" applyFont="1" applyFill="1" applyBorder="1" applyAlignment="1" applyProtection="1">
      <alignment wrapText="1"/>
      <protection hidden="1"/>
    </xf>
    <xf numFmtId="0" fontId="10" fillId="17" borderId="6" xfId="0" applyFont="1" applyFill="1" applyBorder="1" applyAlignment="1" applyProtection="1">
      <protection hidden="1"/>
    </xf>
    <xf numFmtId="0" fontId="92" fillId="17" borderId="6" xfId="0" applyFont="1" applyFill="1" applyBorder="1" applyAlignment="1" applyProtection="1">
      <alignment horizontal="left"/>
      <protection hidden="1"/>
    </xf>
    <xf numFmtId="0" fontId="92" fillId="17" borderId="6" xfId="0" applyFont="1" applyFill="1" applyBorder="1" applyAlignment="1" applyProtection="1">
      <alignment horizontal="center"/>
      <protection hidden="1"/>
    </xf>
    <xf numFmtId="166" fontId="92" fillId="17" borderId="6" xfId="0" applyNumberFormat="1" applyFont="1" applyFill="1" applyBorder="1" applyAlignment="1" applyProtection="1">
      <alignment horizontal="center"/>
      <protection hidden="1"/>
    </xf>
    <xf numFmtId="167" fontId="68" fillId="17" borderId="0" xfId="0" applyNumberFormat="1" applyFont="1" applyFill="1"/>
    <xf numFmtId="0" fontId="86" fillId="17" borderId="0" xfId="0" applyFont="1" applyFill="1"/>
    <xf numFmtId="2" fontId="86" fillId="17" borderId="0" xfId="0" applyNumberFormat="1" applyFont="1" applyFill="1"/>
    <xf numFmtId="0" fontId="16" fillId="17" borderId="0" xfId="0" applyFont="1" applyFill="1" applyBorder="1" applyProtection="1">
      <protection hidden="1"/>
    </xf>
    <xf numFmtId="0" fontId="16" fillId="17" borderId="0" xfId="0" applyFont="1" applyFill="1"/>
    <xf numFmtId="166" fontId="29" fillId="17" borderId="6" xfId="0" applyNumberFormat="1" applyFont="1" applyFill="1" applyBorder="1" applyAlignment="1" applyProtection="1">
      <alignment horizontal="center"/>
      <protection hidden="1"/>
    </xf>
    <xf numFmtId="0" fontId="16" fillId="17" borderId="0" xfId="0" applyFont="1" applyFill="1" applyBorder="1" applyAlignment="1" applyProtection="1">
      <alignment wrapText="1"/>
      <protection hidden="1"/>
    </xf>
    <xf numFmtId="0" fontId="9" fillId="17" borderId="6" xfId="0" applyFont="1" applyFill="1" applyBorder="1" applyAlignment="1" applyProtection="1">
      <alignment horizontal="left" indent="1"/>
      <protection hidden="1"/>
    </xf>
    <xf numFmtId="0" fontId="2" fillId="17" borderId="0" xfId="0" applyFont="1" applyFill="1" applyBorder="1" applyAlignment="1" applyProtection="1">
      <alignment wrapText="1"/>
      <protection hidden="1"/>
    </xf>
    <xf numFmtId="0" fontId="29" fillId="17" borderId="6" xfId="0" applyFont="1" applyFill="1" applyBorder="1" applyAlignment="1" applyProtection="1">
      <alignment horizontal="left"/>
      <protection hidden="1"/>
    </xf>
    <xf numFmtId="0" fontId="29" fillId="17" borderId="6" xfId="0" applyFont="1" applyFill="1" applyBorder="1" applyAlignment="1" applyProtection="1">
      <alignment horizontal="center"/>
      <protection hidden="1"/>
    </xf>
    <xf numFmtId="4" fontId="16" fillId="17" borderId="0" xfId="0" applyNumberFormat="1" applyFont="1" applyFill="1"/>
    <xf numFmtId="4" fontId="24" fillId="17" borderId="0" xfId="0" applyNumberFormat="1" applyFont="1" applyFill="1"/>
    <xf numFmtId="4" fontId="29" fillId="17" borderId="6" xfId="0" applyNumberFormat="1" applyFont="1" applyFill="1" applyBorder="1" applyAlignment="1" applyProtection="1">
      <alignment horizontal="center"/>
      <protection hidden="1"/>
    </xf>
    <xf numFmtId="0" fontId="9" fillId="17" borderId="0" xfId="0" applyFont="1" applyFill="1" applyBorder="1" applyAlignment="1" applyProtection="1">
      <alignment horizontal="center"/>
      <protection hidden="1"/>
    </xf>
    <xf numFmtId="0" fontId="10" fillId="17" borderId="0" xfId="0" applyFont="1" applyFill="1" applyBorder="1" applyAlignment="1" applyProtection="1">
      <alignment horizontal="center"/>
      <protection hidden="1"/>
    </xf>
    <xf numFmtId="4" fontId="9" fillId="17" borderId="0" xfId="0" applyNumberFormat="1" applyFont="1" applyFill="1" applyBorder="1" applyAlignment="1" applyProtection="1">
      <alignment horizontal="right"/>
      <protection hidden="1"/>
    </xf>
    <xf numFmtId="176" fontId="9" fillId="17" borderId="0" xfId="0" applyNumberFormat="1" applyFont="1" applyFill="1" applyBorder="1" applyAlignment="1" applyProtection="1">
      <alignment horizontal="right"/>
      <protection hidden="1"/>
    </xf>
    <xf numFmtId="4" fontId="0" fillId="17" borderId="0" xfId="0" applyNumberFormat="1" applyFill="1" applyBorder="1"/>
    <xf numFmtId="0" fontId="0" fillId="17" borderId="0" xfId="0" applyFill="1" applyBorder="1"/>
    <xf numFmtId="0" fontId="9" fillId="17" borderId="0" xfId="0" applyFont="1" applyFill="1" applyBorder="1" applyAlignment="1" applyProtection="1">
      <alignment horizontal="center" vertical="center" wrapText="1"/>
      <protection hidden="1"/>
    </xf>
    <xf numFmtId="2" fontId="10" fillId="17" borderId="6" xfId="0" applyNumberFormat="1" applyFont="1" applyFill="1" applyBorder="1" applyAlignment="1" applyProtection="1">
      <alignment horizontal="left" wrapText="1"/>
      <protection hidden="1"/>
    </xf>
    <xf numFmtId="0" fontId="10" fillId="17" borderId="6" xfId="0" applyFont="1" applyFill="1" applyBorder="1" applyAlignment="1" applyProtection="1">
      <alignment horizontal="left" indent="2"/>
      <protection hidden="1"/>
    </xf>
    <xf numFmtId="0" fontId="10" fillId="17" borderId="6" xfId="0" applyFont="1" applyFill="1" applyBorder="1" applyAlignment="1" applyProtection="1">
      <alignment horizontal="left" indent="3"/>
      <protection hidden="1"/>
    </xf>
    <xf numFmtId="0" fontId="16" fillId="17" borderId="0" xfId="0" applyFont="1" applyFill="1" applyBorder="1"/>
    <xf numFmtId="0" fontId="9" fillId="17" borderId="6" xfId="0" applyFont="1" applyFill="1" applyBorder="1" applyAlignment="1" applyProtection="1">
      <alignment horizontal="left"/>
      <protection hidden="1"/>
    </xf>
    <xf numFmtId="0" fontId="9" fillId="17" borderId="0" xfId="0" applyFont="1" applyFill="1" applyBorder="1" applyAlignment="1" applyProtection="1">
      <alignment horizontal="left"/>
      <protection hidden="1"/>
    </xf>
    <xf numFmtId="169" fontId="9" fillId="17" borderId="6" xfId="0" applyNumberFormat="1" applyFont="1" applyFill="1" applyBorder="1" applyAlignment="1" applyProtection="1">
      <alignment horizontal="center"/>
      <protection hidden="1"/>
    </xf>
    <xf numFmtId="170" fontId="62" fillId="17" borderId="0" xfId="0" applyNumberFormat="1" applyFont="1" applyFill="1" applyBorder="1"/>
    <xf numFmtId="176" fontId="62" fillId="17" borderId="0" xfId="0" applyNumberFormat="1" applyFont="1" applyFill="1" applyBorder="1"/>
    <xf numFmtId="169" fontId="29" fillId="17" borderId="6" xfId="0" applyNumberFormat="1" applyFont="1" applyFill="1" applyBorder="1" applyAlignment="1" applyProtection="1">
      <alignment horizontal="center"/>
      <protection hidden="1"/>
    </xf>
    <xf numFmtId="4" fontId="62" fillId="17" borderId="0" xfId="0" applyNumberFormat="1" applyFont="1" applyFill="1" applyBorder="1"/>
    <xf numFmtId="0" fontId="0" fillId="17" borderId="0" xfId="0" applyFill="1" applyProtection="1">
      <protection hidden="1"/>
    </xf>
    <xf numFmtId="10" fontId="0" fillId="17" borderId="0" xfId="49" applyNumberFormat="1" applyFont="1" applyFill="1"/>
    <xf numFmtId="0" fontId="47" fillId="0" borderId="0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9" fillId="17" borderId="6" xfId="0" applyFont="1" applyFill="1" applyBorder="1" applyAlignment="1">
      <alignment horizontal="center"/>
    </xf>
    <xf numFmtId="166" fontId="9" fillId="0" borderId="6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9" fillId="17" borderId="6" xfId="0" applyNumberFormat="1" applyFont="1" applyFill="1" applyBorder="1" applyAlignment="1">
      <alignment horizontal="center"/>
    </xf>
    <xf numFmtId="166" fontId="10" fillId="0" borderId="6" xfId="0" applyNumberFormat="1" applyFont="1" applyBorder="1" applyAlignment="1">
      <alignment horizontal="center"/>
    </xf>
    <xf numFmtId="0" fontId="9" fillId="0" borderId="6" xfId="0" applyFont="1" applyFill="1" applyBorder="1" applyAlignment="1">
      <alignment horizontal="left" wrapText="1"/>
    </xf>
    <xf numFmtId="0" fontId="10" fillId="0" borderId="6" xfId="0" applyFont="1" applyFill="1" applyBorder="1" applyAlignment="1">
      <alignment wrapText="1"/>
    </xf>
    <xf numFmtId="0" fontId="9" fillId="17" borderId="6" xfId="0" applyFont="1" applyFill="1" applyBorder="1" applyAlignment="1">
      <alignment horizontal="left" wrapText="1"/>
    </xf>
    <xf numFmtId="0" fontId="8" fillId="0" borderId="0" xfId="0" applyFont="1"/>
    <xf numFmtId="0" fontId="8" fillId="0" borderId="0" xfId="0" applyFont="1" applyBorder="1"/>
    <xf numFmtId="2" fontId="9" fillId="0" borderId="6" xfId="0" applyNumberFormat="1" applyFont="1" applyFill="1" applyBorder="1" applyAlignment="1">
      <alignment horizontal="center" vertical="center"/>
    </xf>
    <xf numFmtId="2" fontId="10" fillId="0" borderId="6" xfId="0" applyNumberFormat="1" applyFont="1" applyFill="1" applyBorder="1" applyAlignment="1">
      <alignment horizontal="center" vertical="center"/>
    </xf>
    <xf numFmtId="166" fontId="9" fillId="0" borderId="6" xfId="0" applyNumberFormat="1" applyFont="1" applyFill="1" applyBorder="1" applyAlignment="1">
      <alignment horizontal="center" vertical="center"/>
    </xf>
    <xf numFmtId="0" fontId="42" fillId="0" borderId="6" xfId="0" applyFont="1" applyBorder="1" applyAlignment="1">
      <alignment vertical="center"/>
    </xf>
    <xf numFmtId="0" fontId="14" fillId="0" borderId="6" xfId="0" applyFont="1" applyFill="1" applyBorder="1" applyAlignment="1">
      <alignment vertical="center" wrapText="1"/>
    </xf>
    <xf numFmtId="0" fontId="42" fillId="0" borderId="6" xfId="0" applyFont="1" applyFill="1" applyBorder="1" applyAlignment="1">
      <alignment vertical="center"/>
    </xf>
    <xf numFmtId="0" fontId="42" fillId="0" borderId="6" xfId="0" applyFont="1" applyFill="1" applyBorder="1" applyAlignment="1">
      <alignment vertical="center" wrapText="1"/>
    </xf>
    <xf numFmtId="0" fontId="26" fillId="17" borderId="0" xfId="0" applyFont="1" applyFill="1" applyBorder="1" applyProtection="1">
      <protection hidden="1"/>
    </xf>
    <xf numFmtId="0" fontId="26" fillId="17" borderId="0" xfId="0" applyFont="1" applyFill="1" applyBorder="1" applyAlignment="1" applyProtection="1">
      <alignment horizontal="left"/>
      <protection hidden="1"/>
    </xf>
    <xf numFmtId="0" fontId="26" fillId="17" borderId="0" xfId="0" applyFont="1" applyFill="1" applyBorder="1" applyAlignment="1" applyProtection="1">
      <alignment horizontal="center"/>
      <protection hidden="1"/>
    </xf>
    <xf numFmtId="4" fontId="26" fillId="17" borderId="0" xfId="0" applyNumberFormat="1" applyFont="1" applyFill="1" applyBorder="1" applyAlignment="1" applyProtection="1">
      <alignment horizontal="center"/>
      <protection hidden="1"/>
    </xf>
    <xf numFmtId="0" fontId="103" fillId="17" borderId="0" xfId="0" applyFont="1" applyFill="1"/>
    <xf numFmtId="0" fontId="26" fillId="17" borderId="0" xfId="0" applyFont="1" applyFill="1"/>
    <xf numFmtId="2" fontId="26" fillId="17" borderId="0" xfId="0" applyNumberFormat="1" applyFont="1" applyFill="1"/>
    <xf numFmtId="0" fontId="28" fillId="17" borderId="0" xfId="0" applyFont="1" applyFill="1" applyBorder="1" applyProtection="1">
      <protection hidden="1"/>
    </xf>
    <xf numFmtId="0" fontId="28" fillId="17" borderId="0" xfId="0" applyFont="1" applyFill="1" applyBorder="1" applyAlignment="1" applyProtection="1">
      <alignment horizontal="left"/>
      <protection hidden="1"/>
    </xf>
    <xf numFmtId="0" fontId="28" fillId="17" borderId="0" xfId="0" applyFont="1" applyFill="1" applyBorder="1" applyAlignment="1" applyProtection="1">
      <alignment horizontal="center"/>
      <protection hidden="1"/>
    </xf>
    <xf numFmtId="4" fontId="28" fillId="17" borderId="0" xfId="0" applyNumberFormat="1" applyFont="1" applyFill="1" applyBorder="1" applyAlignment="1" applyProtection="1">
      <alignment horizontal="center"/>
      <protection hidden="1"/>
    </xf>
    <xf numFmtId="0" fontId="104" fillId="17" borderId="0" xfId="0" applyFont="1" applyFill="1"/>
    <xf numFmtId="0" fontId="28" fillId="17" borderId="0" xfId="0" applyFont="1" applyFill="1"/>
    <xf numFmtId="2" fontId="28" fillId="17" borderId="0" xfId="0" applyNumberFormat="1" applyFont="1" applyFill="1"/>
    <xf numFmtId="2" fontId="10" fillId="17" borderId="6" xfId="0" applyNumberFormat="1" applyFont="1" applyFill="1" applyBorder="1" applyAlignment="1" applyProtection="1">
      <alignment horizontal="left"/>
      <protection hidden="1"/>
    </xf>
    <xf numFmtId="2" fontId="10" fillId="17" borderId="6" xfId="0" applyNumberFormat="1" applyFont="1" applyFill="1" applyBorder="1" applyAlignment="1" applyProtection="1">
      <protection hidden="1"/>
    </xf>
    <xf numFmtId="0" fontId="26" fillId="0" borderId="0" xfId="0" applyFont="1" applyAlignment="1">
      <alignment vertical="top"/>
    </xf>
    <xf numFmtId="0" fontId="28" fillId="0" borderId="0" xfId="0" applyFont="1" applyFill="1" applyBorder="1" applyAlignment="1"/>
    <xf numFmtId="0" fontId="28" fillId="0" borderId="0" xfId="0" applyFont="1" applyProtection="1">
      <protection hidden="1"/>
    </xf>
    <xf numFmtId="4" fontId="28" fillId="0" borderId="0" xfId="0" applyNumberFormat="1" applyFont="1" applyFill="1"/>
    <xf numFmtId="0" fontId="26" fillId="0" borderId="24" xfId="0" applyFont="1" applyFill="1" applyBorder="1" applyAlignment="1" applyProtection="1">
      <alignment wrapText="1"/>
      <protection hidden="1"/>
    </xf>
    <xf numFmtId="166" fontId="10" fillId="0" borderId="11" xfId="0" applyNumberFormat="1" applyFont="1" applyFill="1" applyBorder="1" applyAlignment="1" applyProtection="1">
      <alignment horizontal="center"/>
      <protection hidden="1"/>
    </xf>
    <xf numFmtId="166" fontId="29" fillId="0" borderId="6" xfId="0" applyNumberFormat="1" applyFont="1" applyFill="1" applyBorder="1" applyAlignment="1" applyProtection="1">
      <alignment horizontal="right"/>
      <protection hidden="1"/>
    </xf>
    <xf numFmtId="166" fontId="10" fillId="0" borderId="6" xfId="0" applyNumberFormat="1" applyFont="1" applyFill="1" applyBorder="1" applyAlignment="1" applyProtection="1">
      <alignment horizontal="right"/>
      <protection hidden="1"/>
    </xf>
    <xf numFmtId="166" fontId="10" fillId="17" borderId="6" xfId="0" applyNumberFormat="1" applyFont="1" applyFill="1" applyBorder="1" applyAlignment="1" applyProtection="1">
      <alignment horizontal="right"/>
      <protection hidden="1"/>
    </xf>
    <xf numFmtId="166" fontId="26" fillId="0" borderId="6" xfId="0" applyNumberFormat="1" applyFont="1" applyFill="1" applyBorder="1" applyAlignment="1" applyProtection="1">
      <alignment horizontal="right"/>
      <protection hidden="1"/>
    </xf>
    <xf numFmtId="10" fontId="9" fillId="0" borderId="33" xfId="49" applyNumberFormat="1" applyFont="1" applyFill="1" applyBorder="1" applyAlignment="1" applyProtection="1">
      <alignment vertical="center" wrapText="1"/>
      <protection hidden="1"/>
    </xf>
    <xf numFmtId="0" fontId="26" fillId="0" borderId="6" xfId="0" applyFont="1" applyBorder="1"/>
    <xf numFmtId="0" fontId="29" fillId="0" borderId="6" xfId="0" applyFont="1" applyBorder="1"/>
    <xf numFmtId="0" fontId="26" fillId="0" borderId="0" xfId="0" applyFont="1" applyFill="1" applyBorder="1" applyAlignment="1">
      <alignment wrapText="1"/>
    </xf>
    <xf numFmtId="0" fontId="26" fillId="0" borderId="0" xfId="0" applyFont="1" applyFill="1" applyBorder="1"/>
    <xf numFmtId="0" fontId="29" fillId="0" borderId="0" xfId="0" applyFont="1" applyBorder="1"/>
    <xf numFmtId="1" fontId="29" fillId="0" borderId="0" xfId="0" applyNumberFormat="1" applyFont="1" applyBorder="1"/>
    <xf numFmtId="0" fontId="29" fillId="0" borderId="6" xfId="0" applyFont="1" applyFill="1" applyBorder="1" applyAlignment="1">
      <alignment horizontal="left"/>
    </xf>
    <xf numFmtId="0" fontId="26" fillId="0" borderId="0" xfId="0" applyFont="1"/>
    <xf numFmtId="1" fontId="9" fillId="0" borderId="6" xfId="0" applyNumberFormat="1" applyFont="1" applyFill="1" applyBorder="1" applyAlignment="1">
      <alignment horizontal="center" vertical="center"/>
    </xf>
    <xf numFmtId="0" fontId="26" fillId="0" borderId="0" xfId="0" applyFont="1" applyProtection="1">
      <protection hidden="1"/>
    </xf>
    <xf numFmtId="2" fontId="56" fillId="0" borderId="8" xfId="0" applyNumberFormat="1" applyFont="1" applyFill="1" applyBorder="1" applyAlignment="1">
      <alignment wrapText="1"/>
    </xf>
    <xf numFmtId="2" fontId="56" fillId="0" borderId="8" xfId="0" applyNumberFormat="1" applyFont="1" applyFill="1" applyBorder="1" applyAlignment="1">
      <alignment horizontal="right" wrapText="1"/>
    </xf>
    <xf numFmtId="166" fontId="56" fillId="0" borderId="8" xfId="0" applyNumberFormat="1" applyFont="1" applyFill="1" applyBorder="1" applyAlignment="1">
      <alignment horizontal="right" wrapText="1"/>
    </xf>
    <xf numFmtId="2" fontId="55" fillId="0" borderId="6" xfId="0" applyNumberFormat="1" applyFont="1" applyFill="1" applyBorder="1" applyAlignment="1">
      <alignment horizontal="right" wrapText="1"/>
    </xf>
    <xf numFmtId="166" fontId="55" fillId="0" borderId="6" xfId="0" applyNumberFormat="1" applyFont="1" applyFill="1" applyBorder="1" applyAlignment="1">
      <alignment horizontal="right" wrapText="1"/>
    </xf>
    <xf numFmtId="2" fontId="106" fillId="0" borderId="6" xfId="0" applyNumberFormat="1" applyFont="1" applyFill="1" applyBorder="1" applyAlignment="1">
      <alignment horizontal="right"/>
    </xf>
    <xf numFmtId="2" fontId="47" fillId="0" borderId="6" xfId="0" applyNumberFormat="1" applyFont="1" applyFill="1" applyBorder="1" applyAlignment="1">
      <alignment horizontal="right"/>
    </xf>
    <xf numFmtId="166" fontId="50" fillId="0" borderId="6" xfId="0" applyNumberFormat="1" applyFont="1" applyFill="1" applyBorder="1" applyAlignment="1">
      <alignment horizontal="right"/>
    </xf>
    <xf numFmtId="2" fontId="26" fillId="17" borderId="0" xfId="0" applyNumberFormat="1" applyFont="1" applyFill="1" applyBorder="1" applyAlignment="1" applyProtection="1">
      <protection hidden="1"/>
    </xf>
    <xf numFmtId="0" fontId="103" fillId="17" borderId="0" xfId="0" applyFont="1" applyFill="1" applyBorder="1"/>
    <xf numFmtId="4" fontId="103" fillId="17" borderId="0" xfId="0" applyNumberFormat="1" applyFont="1" applyFill="1" applyAlignment="1">
      <alignment horizontal="left"/>
    </xf>
    <xf numFmtId="2" fontId="103" fillId="17" borderId="0" xfId="0" applyNumberFormat="1" applyFont="1" applyFill="1" applyBorder="1" applyAlignment="1">
      <alignment horizontal="right"/>
    </xf>
    <xf numFmtId="1" fontId="103" fillId="17" borderId="0" xfId="0" applyNumberFormat="1" applyFont="1" applyFill="1" applyBorder="1" applyAlignment="1">
      <alignment horizontal="right"/>
    </xf>
    <xf numFmtId="1" fontId="26" fillId="17" borderId="0" xfId="0" applyNumberFormat="1" applyFont="1" applyFill="1" applyBorder="1" applyAlignment="1">
      <alignment horizontal="right"/>
    </xf>
    <xf numFmtId="0" fontId="26" fillId="17" borderId="0" xfId="0" applyFont="1" applyFill="1" applyBorder="1"/>
    <xf numFmtId="0" fontId="55" fillId="0" borderId="9" xfId="21" applyFont="1" applyFill="1" applyBorder="1" applyAlignment="1" applyProtection="1">
      <alignment horizontal="left" wrapText="1"/>
      <protection hidden="1"/>
    </xf>
    <xf numFmtId="0" fontId="55" fillId="0" borderId="24" xfId="21" applyFont="1" applyFill="1" applyBorder="1" applyAlignment="1" applyProtection="1">
      <alignment horizontal="left" wrapText="1"/>
      <protection hidden="1"/>
    </xf>
    <xf numFmtId="165" fontId="42" fillId="0" borderId="22" xfId="0" applyNumberFormat="1" applyFont="1" applyFill="1" applyBorder="1" applyAlignment="1" applyProtection="1">
      <alignment horizontal="right" wrapText="1"/>
      <protection hidden="1"/>
    </xf>
    <xf numFmtId="165" fontId="42" fillId="17" borderId="6" xfId="0" applyNumberFormat="1" applyFont="1" applyFill="1" applyBorder="1" applyAlignment="1" applyProtection="1">
      <protection hidden="1"/>
    </xf>
    <xf numFmtId="4" fontId="2" fillId="17" borderId="6" xfId="0" applyNumberFormat="1" applyFont="1" applyFill="1" applyBorder="1" applyAlignment="1" applyProtection="1">
      <alignment horizontal="center"/>
      <protection hidden="1"/>
    </xf>
    <xf numFmtId="167" fontId="45" fillId="0" borderId="6" xfId="0" applyNumberFormat="1" applyFont="1" applyBorder="1" applyAlignment="1" applyProtection="1">
      <alignment horizontal="center" wrapText="1"/>
      <protection hidden="1"/>
    </xf>
    <xf numFmtId="4" fontId="2" fillId="0" borderId="6" xfId="21" applyNumberFormat="1" applyFont="1" applyFill="1" applyBorder="1" applyAlignment="1" applyProtection="1">
      <alignment horizontal="center" wrapText="1"/>
      <protection hidden="1"/>
    </xf>
    <xf numFmtId="0" fontId="4" fillId="0" borderId="0" xfId="0" applyFont="1" applyAlignment="1">
      <alignment horizontal="right"/>
    </xf>
    <xf numFmtId="0" fontId="26" fillId="0" borderId="0" xfId="0" applyFont="1" applyFill="1" applyBorder="1" applyAlignment="1" applyProtection="1">
      <alignment horizontal="left" indent="1"/>
      <protection hidden="1"/>
    </xf>
    <xf numFmtId="0" fontId="103" fillId="0" borderId="0" xfId="0" applyFont="1"/>
    <xf numFmtId="2" fontId="16" fillId="17" borderId="6" xfId="0" applyNumberFormat="1" applyFont="1" applyFill="1" applyBorder="1" applyProtection="1">
      <protection hidden="1"/>
    </xf>
    <xf numFmtId="178" fontId="88" fillId="17" borderId="0" xfId="0" applyNumberFormat="1" applyFont="1" applyFill="1"/>
    <xf numFmtId="0" fontId="16" fillId="0" borderId="6" xfId="0" applyFont="1" applyBorder="1" applyAlignment="1" applyProtection="1">
      <alignment horizontal="left" wrapText="1"/>
      <protection hidden="1"/>
    </xf>
    <xf numFmtId="0" fontId="29" fillId="0" borderId="6" xfId="0" applyFont="1" applyBorder="1" applyAlignment="1" applyProtection="1">
      <alignment horizontal="left"/>
      <protection hidden="1"/>
    </xf>
    <xf numFmtId="0" fontId="10" fillId="17" borderId="0" xfId="0" applyFont="1" applyFill="1" applyBorder="1" applyAlignment="1" applyProtection="1">
      <protection hidden="1"/>
    </xf>
    <xf numFmtId="2" fontId="10" fillId="17" borderId="0" xfId="0" applyNumberFormat="1" applyFont="1" applyFill="1" applyBorder="1" applyAlignment="1" applyProtection="1">
      <alignment horizontal="right"/>
      <protection hidden="1"/>
    </xf>
    <xf numFmtId="2" fontId="75" fillId="0" borderId="0" xfId="0" applyNumberFormat="1" applyFont="1"/>
    <xf numFmtId="0" fontId="9" fillId="0" borderId="0" xfId="0" applyFont="1"/>
    <xf numFmtId="0" fontId="10" fillId="0" borderId="6" xfId="0" applyFont="1" applyFill="1" applyBorder="1" applyAlignment="1" applyProtection="1">
      <protection hidden="1"/>
    </xf>
    <xf numFmtId="0" fontId="9" fillId="17" borderId="6" xfId="0" applyFont="1" applyFill="1" applyBorder="1" applyAlignment="1" applyProtection="1">
      <protection hidden="1"/>
    </xf>
    <xf numFmtId="166" fontId="10" fillId="0" borderId="6" xfId="0" applyNumberFormat="1" applyFont="1" applyBorder="1" applyAlignment="1" applyProtection="1">
      <alignment horizontal="right"/>
      <protection hidden="1"/>
    </xf>
    <xf numFmtId="166" fontId="9" fillId="17" borderId="6" xfId="0" applyNumberFormat="1" applyFont="1" applyFill="1" applyBorder="1" applyAlignment="1" applyProtection="1">
      <alignment horizontal="right"/>
      <protection hidden="1"/>
    </xf>
    <xf numFmtId="166" fontId="9" fillId="0" borderId="8" xfId="0" applyNumberFormat="1" applyFont="1" applyFill="1" applyBorder="1" applyAlignment="1" applyProtection="1">
      <alignment horizontal="right"/>
      <protection hidden="1"/>
    </xf>
    <xf numFmtId="166" fontId="9" fillId="0" borderId="6" xfId="0" applyNumberFormat="1" applyFont="1" applyBorder="1" applyAlignment="1" applyProtection="1">
      <alignment horizontal="right"/>
      <protection hidden="1"/>
    </xf>
    <xf numFmtId="2" fontId="50" fillId="0" borderId="6" xfId="0" applyNumberFormat="1" applyFont="1" applyFill="1" applyBorder="1" applyAlignment="1">
      <alignment horizontal="right" wrapText="1"/>
    </xf>
    <xf numFmtId="2" fontId="47" fillId="22" borderId="6" xfId="0" applyNumberFormat="1" applyFont="1" applyFill="1" applyBorder="1" applyAlignment="1">
      <alignment horizontal="right"/>
    </xf>
    <xf numFmtId="2" fontId="42" fillId="23" borderId="6" xfId="0" applyNumberFormat="1" applyFont="1" applyFill="1" applyBorder="1" applyAlignment="1">
      <alignment horizontal="right"/>
    </xf>
    <xf numFmtId="2" fontId="47" fillId="23" borderId="6" xfId="0" applyNumberFormat="1" applyFont="1" applyFill="1" applyBorder="1" applyAlignment="1">
      <alignment horizontal="right"/>
    </xf>
    <xf numFmtId="166" fontId="42" fillId="23" borderId="6" xfId="0" applyNumberFormat="1" applyFont="1" applyFill="1" applyBorder="1" applyAlignment="1">
      <alignment horizontal="right"/>
    </xf>
    <xf numFmtId="2" fontId="47" fillId="24" borderId="6" xfId="0" applyNumberFormat="1" applyFont="1" applyFill="1" applyBorder="1" applyAlignment="1">
      <alignment horizontal="right"/>
    </xf>
    <xf numFmtId="166" fontId="47" fillId="23" borderId="6" xfId="0" applyNumberFormat="1" applyFont="1" applyFill="1" applyBorder="1" applyAlignment="1">
      <alignment horizontal="right"/>
    </xf>
    <xf numFmtId="166" fontId="47" fillId="25" borderId="6" xfId="0" applyNumberFormat="1" applyFont="1" applyFill="1" applyBorder="1" applyAlignment="1">
      <alignment horizontal="right"/>
    </xf>
    <xf numFmtId="166" fontId="107" fillId="23" borderId="6" xfId="0" applyNumberFormat="1" applyFont="1" applyFill="1" applyBorder="1" applyAlignment="1">
      <alignment horizontal="right"/>
    </xf>
    <xf numFmtId="0" fontId="0" fillId="0" borderId="0" xfId="0" applyFont="1" applyFill="1" applyBorder="1"/>
    <xf numFmtId="0" fontId="0" fillId="17" borderId="0" xfId="0" applyFont="1" applyFill="1"/>
    <xf numFmtId="175" fontId="19" fillId="0" borderId="6" xfId="0" applyNumberFormat="1" applyFont="1" applyFill="1" applyBorder="1" applyAlignment="1" applyProtection="1">
      <alignment horizontal="center" wrapText="1"/>
      <protection hidden="1"/>
    </xf>
    <xf numFmtId="175" fontId="4" fillId="0" borderId="6" xfId="49" applyNumberFormat="1" applyFont="1" applyFill="1" applyBorder="1" applyAlignment="1" applyProtection="1">
      <alignment horizontal="center" wrapText="1"/>
      <protection hidden="1"/>
    </xf>
    <xf numFmtId="0" fontId="42" fillId="0" borderId="6" xfId="0" applyFont="1" applyBorder="1" applyAlignment="1">
      <alignment vertical="center" wrapText="1"/>
    </xf>
    <xf numFmtId="2" fontId="0" fillId="0" borderId="0" xfId="0" applyNumberFormat="1" applyFont="1" applyFill="1" applyBorder="1"/>
    <xf numFmtId="0" fontId="2" fillId="26" borderId="28" xfId="0" applyFont="1" applyFill="1" applyBorder="1" applyAlignment="1" applyProtection="1">
      <alignment horizontal="center" vertical="center" wrapText="1"/>
      <protection hidden="1"/>
    </xf>
    <xf numFmtId="0" fontId="2" fillId="26" borderId="5" xfId="0" applyFont="1" applyFill="1" applyBorder="1" applyAlignment="1" applyProtection="1">
      <alignment horizontal="center" vertical="center" wrapText="1"/>
      <protection hidden="1"/>
    </xf>
    <xf numFmtId="0" fontId="110" fillId="0" borderId="6" xfId="0" applyFont="1" applyBorder="1" applyAlignment="1">
      <alignment horizontal="center" vertical="center" wrapText="1"/>
    </xf>
    <xf numFmtId="0" fontId="111" fillId="0" borderId="6" xfId="0" applyFont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wrapText="1"/>
    </xf>
    <xf numFmtId="0" fontId="112" fillId="0" borderId="6" xfId="0" applyFont="1" applyBorder="1" applyAlignment="1">
      <alignment horizontal="center" vertical="center" textRotation="90" wrapText="1"/>
    </xf>
    <xf numFmtId="0" fontId="36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12" fillId="0" borderId="0" xfId="0" applyFont="1" applyBorder="1" applyAlignment="1">
      <alignment horizontal="center" vertical="center" wrapText="1"/>
    </xf>
    <xf numFmtId="0" fontId="11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18" borderId="0" xfId="0" applyNumberFormat="1" applyFill="1"/>
    <xf numFmtId="0" fontId="36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 vertical="center" wrapText="1"/>
    </xf>
    <xf numFmtId="0" fontId="119" fillId="0" borderId="0" xfId="0" applyFont="1" applyBorder="1" applyAlignment="1">
      <alignment horizontal="center" vertical="center" wrapText="1"/>
    </xf>
    <xf numFmtId="0" fontId="120" fillId="0" borderId="0" xfId="0" applyFont="1" applyBorder="1" applyAlignment="1">
      <alignment horizontal="center" wrapText="1"/>
    </xf>
    <xf numFmtId="0" fontId="120" fillId="0" borderId="0" xfId="0" applyFont="1" applyBorder="1" applyAlignment="1">
      <alignment horizontal="center" vertical="top" wrapText="1"/>
    </xf>
    <xf numFmtId="0" fontId="33" fillId="0" borderId="6" xfId="0" applyFont="1" applyFill="1" applyBorder="1" applyAlignment="1">
      <alignment horizontal="center" vertical="center" textRotation="90"/>
    </xf>
    <xf numFmtId="0" fontId="115" fillId="0" borderId="0" xfId="0" applyFont="1" applyFill="1" applyBorder="1" applyAlignment="1">
      <alignment horizontal="center" vertical="center"/>
    </xf>
    <xf numFmtId="2" fontId="29" fillId="0" borderId="6" xfId="0" applyNumberFormat="1" applyFont="1" applyBorder="1"/>
    <xf numFmtId="2" fontId="26" fillId="0" borderId="6" xfId="0" applyNumberFormat="1" applyFont="1" applyBorder="1"/>
    <xf numFmtId="2" fontId="29" fillId="0" borderId="46" xfId="0" applyNumberFormat="1" applyFont="1" applyBorder="1"/>
    <xf numFmtId="0" fontId="26" fillId="0" borderId="26" xfId="0" applyFont="1" applyBorder="1"/>
    <xf numFmtId="2" fontId="26" fillId="0" borderId="26" xfId="0" applyNumberFormat="1" applyFont="1" applyBorder="1"/>
    <xf numFmtId="2" fontId="36" fillId="0" borderId="0" xfId="0" applyNumberFormat="1" applyFont="1" applyFill="1" applyBorder="1" applyAlignment="1">
      <alignment horizontal="center"/>
    </xf>
    <xf numFmtId="2" fontId="36" fillId="27" borderId="0" xfId="0" applyNumberFormat="1" applyFont="1" applyFill="1" applyBorder="1" applyAlignment="1">
      <alignment horizontal="center"/>
    </xf>
    <xf numFmtId="0" fontId="26" fillId="0" borderId="33" xfId="0" applyFont="1" applyBorder="1"/>
    <xf numFmtId="2" fontId="29" fillId="0" borderId="33" xfId="0" applyNumberFormat="1" applyFont="1" applyBorder="1"/>
    <xf numFmtId="0" fontId="121" fillId="0" borderId="33" xfId="0" applyFont="1" applyBorder="1"/>
    <xf numFmtId="0" fontId="118" fillId="17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Border="1" applyAlignment="1">
      <alignment vertical="top"/>
    </xf>
    <xf numFmtId="2" fontId="24" fillId="0" borderId="0" xfId="0" applyNumberFormat="1" applyFont="1" applyBorder="1"/>
    <xf numFmtId="0" fontId="36" fillId="17" borderId="6" xfId="0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left" vertical="top" wrapText="1" indent="6"/>
    </xf>
    <xf numFmtId="0" fontId="0" fillId="17" borderId="0" xfId="0" applyFill="1" applyAlignment="1">
      <alignment horizontal="center" vertical="center" wrapText="1"/>
    </xf>
    <xf numFmtId="0" fontId="114" fillId="17" borderId="0" xfId="0" applyFont="1" applyFill="1" applyAlignment="1">
      <alignment horizontal="left" vertical="center"/>
    </xf>
    <xf numFmtId="0" fontId="115" fillId="17" borderId="0" xfId="0" applyNumberFormat="1" applyFont="1" applyFill="1" applyAlignment="1" applyProtection="1">
      <alignment horizontal="center" vertical="center" wrapText="1"/>
      <protection hidden="1"/>
    </xf>
    <xf numFmtId="2" fontId="115" fillId="17" borderId="0" xfId="0" applyNumberFormat="1" applyFont="1" applyFill="1" applyAlignment="1" applyProtection="1">
      <alignment horizontal="center" vertical="center" wrapText="1"/>
      <protection hidden="1"/>
    </xf>
    <xf numFmtId="0" fontId="116" fillId="17" borderId="0" xfId="0" applyNumberFormat="1" applyFont="1" applyFill="1" applyAlignment="1" applyProtection="1">
      <alignment horizontal="left" vertical="top" wrapText="1"/>
      <protection hidden="1"/>
    </xf>
    <xf numFmtId="0" fontId="117" fillId="17" borderId="0" xfId="0" applyFont="1" applyFill="1" applyAlignment="1">
      <alignment horizontal="center" vertical="top"/>
    </xf>
    <xf numFmtId="0" fontId="26" fillId="0" borderId="0" xfId="0" applyFont="1" applyBorder="1" applyAlignment="1">
      <alignment vertical="center"/>
    </xf>
    <xf numFmtId="0" fontId="26" fillId="0" borderId="0" xfId="0" applyNumberFormat="1" applyFont="1" applyBorder="1" applyAlignment="1">
      <alignment vertical="center"/>
    </xf>
    <xf numFmtId="166" fontId="50" fillId="23" borderId="6" xfId="0" applyNumberFormat="1" applyFont="1" applyFill="1" applyBorder="1" applyAlignment="1">
      <alignment horizontal="right"/>
    </xf>
    <xf numFmtId="1" fontId="10" fillId="0" borderId="6" xfId="0" applyNumberFormat="1" applyFont="1" applyFill="1" applyBorder="1" applyAlignment="1">
      <alignment horizontal="center" vertical="center"/>
    </xf>
    <xf numFmtId="166" fontId="9" fillId="0" borderId="2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9" fillId="0" borderId="6" xfId="21" applyFont="1" applyFill="1" applyBorder="1" applyAlignment="1">
      <alignment horizontal="center" vertical="center"/>
    </xf>
    <xf numFmtId="0" fontId="10" fillId="0" borderId="6" xfId="21" applyFont="1" applyFill="1" applyBorder="1" applyAlignment="1">
      <alignment horizontal="center" vertical="center"/>
    </xf>
    <xf numFmtId="0" fontId="9" fillId="0" borderId="26" xfId="21" applyFont="1" applyFill="1" applyBorder="1" applyAlignment="1">
      <alignment horizontal="center" vertical="center"/>
    </xf>
    <xf numFmtId="0" fontId="10" fillId="0" borderId="6" xfId="0" applyFont="1" applyBorder="1"/>
    <xf numFmtId="0" fontId="14" fillId="0" borderId="6" xfId="0" applyFont="1" applyFill="1" applyBorder="1" applyAlignment="1">
      <alignment wrapText="1"/>
    </xf>
    <xf numFmtId="0" fontId="50" fillId="0" borderId="6" xfId="0" applyFont="1" applyBorder="1" applyAlignment="1">
      <alignment wrapText="1"/>
    </xf>
    <xf numFmtId="0" fontId="14" fillId="0" borderId="6" xfId="0" applyFont="1" applyBorder="1" applyAlignment="1">
      <alignment horizontal="left" vertical="center" wrapText="1"/>
    </xf>
    <xf numFmtId="166" fontId="29" fillId="0" borderId="6" xfId="0" applyNumberFormat="1" applyFont="1" applyBorder="1" applyAlignment="1">
      <alignment horizontal="center" vertical="center"/>
    </xf>
    <xf numFmtId="0" fontId="4" fillId="0" borderId="6" xfId="0" applyFont="1" applyBorder="1"/>
    <xf numFmtId="17" fontId="2" fillId="0" borderId="6" xfId="0" applyNumberFormat="1" applyFont="1" applyBorder="1"/>
    <xf numFmtId="0" fontId="26" fillId="0" borderId="6" xfId="21" applyFont="1" applyFill="1" applyBorder="1" applyAlignment="1">
      <alignment horizontal="center" vertical="center"/>
    </xf>
    <xf numFmtId="166" fontId="26" fillId="17" borderId="6" xfId="0" applyNumberFormat="1" applyFont="1" applyFill="1" applyBorder="1" applyAlignment="1">
      <alignment horizontal="center" vertical="center"/>
    </xf>
    <xf numFmtId="0" fontId="50" fillId="0" borderId="6" xfId="0" applyFont="1" applyBorder="1" applyAlignment="1">
      <alignment horizontal="left" vertical="center"/>
    </xf>
    <xf numFmtId="2" fontId="26" fillId="0" borderId="6" xfId="0" applyNumberFormat="1" applyFont="1" applyFill="1" applyBorder="1" applyAlignment="1">
      <alignment horizontal="center" vertical="center"/>
    </xf>
    <xf numFmtId="0" fontId="16" fillId="18" borderId="0" xfId="0" applyFont="1" applyFill="1" applyBorder="1"/>
    <xf numFmtId="0" fontId="16" fillId="18" borderId="0" xfId="0" applyFont="1" applyFill="1"/>
    <xf numFmtId="0" fontId="2" fillId="17" borderId="6" xfId="0" applyFont="1" applyFill="1" applyBorder="1" applyAlignment="1">
      <alignment wrapText="1"/>
    </xf>
    <xf numFmtId="2" fontId="47" fillId="17" borderId="6" xfId="0" applyNumberFormat="1" applyFont="1" applyFill="1" applyBorder="1" applyAlignment="1">
      <alignment horizontal="right"/>
    </xf>
    <xf numFmtId="166" fontId="47" fillId="17" borderId="6" xfId="0" applyNumberFormat="1" applyFont="1" applyFill="1" applyBorder="1" applyAlignment="1">
      <alignment horizontal="right"/>
    </xf>
    <xf numFmtId="0" fontId="0" fillId="17" borderId="0" xfId="0" applyFont="1" applyFill="1" applyBorder="1"/>
    <xf numFmtId="0" fontId="0" fillId="18" borderId="0" xfId="0" applyFill="1" applyBorder="1" applyAlignment="1"/>
    <xf numFmtId="2" fontId="10" fillId="18" borderId="9" xfId="0" applyNumberFormat="1" applyFont="1" applyFill="1" applyBorder="1" applyAlignment="1" applyProtection="1">
      <alignment wrapText="1"/>
      <protection hidden="1"/>
    </xf>
    <xf numFmtId="166" fontId="10" fillId="18" borderId="6" xfId="0" applyNumberFormat="1" applyFont="1" applyFill="1" applyBorder="1" applyAlignment="1" applyProtection="1">
      <alignment horizontal="center"/>
      <protection hidden="1"/>
    </xf>
    <xf numFmtId="2" fontId="20" fillId="18" borderId="0" xfId="0" applyNumberFormat="1" applyFont="1" applyFill="1" applyAlignment="1">
      <alignment horizontal="right"/>
    </xf>
    <xf numFmtId="0" fontId="112" fillId="17" borderId="0" xfId="0" applyFont="1" applyFill="1" applyBorder="1" applyAlignment="1">
      <alignment horizontal="center" vertical="center" wrapText="1"/>
    </xf>
    <xf numFmtId="0" fontId="1" fillId="17" borderId="0" xfId="40" applyFill="1"/>
    <xf numFmtId="0" fontId="1" fillId="0" borderId="0" xfId="40"/>
    <xf numFmtId="0" fontId="1" fillId="0" borderId="6" xfId="40" applyBorder="1" applyAlignment="1">
      <alignment horizontal="center" vertical="center" wrapText="1"/>
    </xf>
    <xf numFmtId="0" fontId="112" fillId="0" borderId="6" xfId="40" applyFont="1" applyBorder="1" applyAlignment="1">
      <alignment horizontal="center" vertical="center" wrapText="1"/>
    </xf>
    <xf numFmtId="0" fontId="36" fillId="0" borderId="6" xfId="40" applyFont="1" applyBorder="1" applyAlignment="1">
      <alignment horizontal="center" vertical="center" wrapText="1"/>
    </xf>
    <xf numFmtId="0" fontId="36" fillId="17" borderId="6" xfId="40" applyFont="1" applyFill="1" applyBorder="1" applyAlignment="1">
      <alignment horizontal="center" vertical="center" wrapText="1"/>
    </xf>
    <xf numFmtId="0" fontId="1" fillId="0" borderId="0" xfId="40" applyBorder="1" applyAlignment="1">
      <alignment horizontal="center" vertical="center" wrapText="1"/>
    </xf>
    <xf numFmtId="0" fontId="112" fillId="17" borderId="0" xfId="40" applyFont="1" applyFill="1" applyBorder="1" applyAlignment="1">
      <alignment horizontal="center" vertical="center" wrapText="1"/>
    </xf>
    <xf numFmtId="0" fontId="112" fillId="0" borderId="0" xfId="40" applyFont="1" applyBorder="1" applyAlignment="1">
      <alignment horizontal="center" vertical="center" wrapText="1"/>
    </xf>
    <xf numFmtId="0" fontId="1" fillId="0" borderId="0" xfId="40" applyAlignment="1">
      <alignment horizontal="center" vertical="center" wrapText="1"/>
    </xf>
    <xf numFmtId="0" fontId="1" fillId="17" borderId="0" xfId="40" applyFill="1" applyAlignment="1">
      <alignment horizontal="center" vertical="center" wrapText="1"/>
    </xf>
    <xf numFmtId="2" fontId="29" fillId="0" borderId="0" xfId="0" applyNumberFormat="1" applyFont="1" applyBorder="1"/>
    <xf numFmtId="0" fontId="36" fillId="0" borderId="47" xfId="0" applyFont="1" applyBorder="1" applyAlignment="1"/>
    <xf numFmtId="2" fontId="121" fillId="0" borderId="35" xfId="0" applyNumberFormat="1" applyFont="1" applyBorder="1"/>
    <xf numFmtId="2" fontId="29" fillId="0" borderId="15" xfId="0" applyNumberFormat="1" applyFont="1" applyBorder="1"/>
    <xf numFmtId="0" fontId="36" fillId="0" borderId="0" xfId="0" applyFont="1" applyBorder="1" applyAlignment="1"/>
    <xf numFmtId="0" fontId="118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textRotation="90"/>
    </xf>
    <xf numFmtId="1" fontId="26" fillId="0" borderId="0" xfId="0" applyNumberFormat="1" applyFont="1" applyBorder="1"/>
    <xf numFmtId="2" fontId="26" fillId="0" borderId="0" xfId="0" applyNumberFormat="1" applyFont="1" applyBorder="1"/>
    <xf numFmtId="2" fontId="121" fillId="0" borderId="0" xfId="0" applyNumberFormat="1" applyFont="1" applyBorder="1"/>
    <xf numFmtId="0" fontId="118" fillId="0" borderId="0" xfId="0" applyFont="1" applyBorder="1" applyAlignment="1">
      <alignment vertical="center"/>
    </xf>
    <xf numFmtId="0" fontId="29" fillId="0" borderId="33" xfId="0" applyFont="1" applyBorder="1"/>
    <xf numFmtId="2" fontId="122" fillId="0" borderId="33" xfId="0" applyNumberFormat="1" applyFont="1" applyBorder="1"/>
    <xf numFmtId="2" fontId="105" fillId="0" borderId="6" xfId="0" applyNumberFormat="1" applyFont="1" applyBorder="1"/>
    <xf numFmtId="0" fontId="0" fillId="17" borderId="0" xfId="40" applyFont="1" applyFill="1"/>
    <xf numFmtId="0" fontId="28" fillId="0" borderId="0" xfId="0" applyFont="1" applyFill="1" applyBorder="1" applyAlignment="1">
      <alignment horizontal="center"/>
    </xf>
    <xf numFmtId="17" fontId="4" fillId="0" borderId="6" xfId="0" applyNumberFormat="1" applyFont="1" applyBorder="1"/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179" fontId="2" fillId="0" borderId="0" xfId="0" applyNumberFormat="1" applyFont="1" applyFill="1" applyBorder="1"/>
    <xf numFmtId="2" fontId="0" fillId="0" borderId="0" xfId="0" applyNumberFormat="1" applyFont="1"/>
    <xf numFmtId="2" fontId="16" fillId="0" borderId="0" xfId="0" applyNumberFormat="1" applyFont="1"/>
    <xf numFmtId="2" fontId="0" fillId="17" borderId="0" xfId="0" applyNumberFormat="1" applyFont="1" applyFill="1"/>
    <xf numFmtId="2" fontId="26" fillId="0" borderId="0" xfId="0" applyNumberFormat="1" applyFont="1"/>
    <xf numFmtId="0" fontId="26" fillId="0" borderId="6" xfId="0" applyFont="1" applyBorder="1" applyAlignment="1" applyProtection="1">
      <alignment horizontal="left" wrapText="1"/>
      <protection hidden="1"/>
    </xf>
    <xf numFmtId="0" fontId="26" fillId="0" borderId="6" xfId="0" applyFont="1" applyBorder="1" applyAlignment="1" applyProtection="1">
      <alignment horizontal="left"/>
      <protection hidden="1"/>
    </xf>
    <xf numFmtId="17" fontId="4" fillId="0" borderId="0" xfId="0" applyNumberFormat="1" applyFont="1" applyFill="1" applyBorder="1"/>
    <xf numFmtId="166" fontId="10" fillId="17" borderId="6" xfId="0" applyNumberFormat="1" applyFont="1" applyFill="1" applyBorder="1" applyAlignment="1">
      <alignment horizontal="center"/>
    </xf>
    <xf numFmtId="0" fontId="10" fillId="17" borderId="6" xfId="0" applyFont="1" applyFill="1" applyBorder="1" applyAlignment="1">
      <alignment wrapText="1"/>
    </xf>
    <xf numFmtId="0" fontId="10" fillId="17" borderId="6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left" wrapText="1"/>
    </xf>
    <xf numFmtId="0" fontId="26" fillId="0" borderId="6" xfId="0" applyFont="1" applyFill="1" applyBorder="1" applyAlignment="1">
      <alignment horizontal="center"/>
    </xf>
    <xf numFmtId="166" fontId="26" fillId="0" borderId="6" xfId="0" applyNumberFormat="1" applyFont="1" applyFill="1" applyBorder="1" applyAlignment="1">
      <alignment horizontal="center"/>
    </xf>
    <xf numFmtId="0" fontId="26" fillId="17" borderId="6" xfId="0" applyFont="1" applyFill="1" applyBorder="1" applyAlignment="1">
      <alignment wrapText="1"/>
    </xf>
    <xf numFmtId="0" fontId="26" fillId="17" borderId="6" xfId="0" applyFont="1" applyFill="1" applyBorder="1" applyAlignment="1">
      <alignment horizontal="center"/>
    </xf>
    <xf numFmtId="166" fontId="26" fillId="17" borderId="6" xfId="0" applyNumberFormat="1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166" fontId="29" fillId="0" borderId="6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left" wrapText="1"/>
    </xf>
    <xf numFmtId="2" fontId="28" fillId="0" borderId="0" xfId="0" applyNumberFormat="1" applyFont="1" applyFill="1" applyBorder="1" applyAlignment="1">
      <alignment horizontal="center"/>
    </xf>
    <xf numFmtId="0" fontId="28" fillId="0" borderId="0" xfId="0" applyFont="1" applyFill="1"/>
    <xf numFmtId="0" fontId="7" fillId="0" borderId="0" xfId="0" applyFont="1" applyFill="1" applyBorder="1" applyAlignment="1" applyProtection="1">
      <alignment horizontal="center" vertical="justify"/>
      <protection hidden="1"/>
    </xf>
    <xf numFmtId="0" fontId="2" fillId="26" borderId="30" xfId="0" applyFont="1" applyFill="1" applyBorder="1" applyAlignment="1" applyProtection="1">
      <alignment horizontal="center" vertical="center" wrapText="1"/>
      <protection hidden="1"/>
    </xf>
    <xf numFmtId="0" fontId="8" fillId="0" borderId="6" xfId="0" applyFont="1" applyFill="1" applyBorder="1" applyAlignment="1" applyProtection="1">
      <alignment horizontal="left" wrapText="1" indent="1"/>
      <protection hidden="1"/>
    </xf>
    <xf numFmtId="167" fontId="8" fillId="0" borderId="6" xfId="0" applyNumberFormat="1" applyFont="1" applyFill="1" applyBorder="1" applyAlignment="1" applyProtection="1">
      <alignment horizontal="right"/>
      <protection hidden="1"/>
    </xf>
    <xf numFmtId="1" fontId="8" fillId="0" borderId="6" xfId="0" applyNumberFormat="1" applyFont="1" applyFill="1" applyBorder="1" applyAlignment="1" applyProtection="1">
      <alignment horizontal="right"/>
      <protection hidden="1"/>
    </xf>
    <xf numFmtId="2" fontId="8" fillId="0" borderId="6" xfId="0" applyNumberFormat="1" applyFont="1" applyFill="1" applyBorder="1" applyAlignment="1" applyProtection="1">
      <alignment horizontal="right"/>
      <protection hidden="1"/>
    </xf>
    <xf numFmtId="1" fontId="8" fillId="28" borderId="6" xfId="0" applyNumberFormat="1" applyFont="1" applyFill="1" applyBorder="1" applyAlignment="1" applyProtection="1">
      <alignment horizontal="right"/>
      <protection hidden="1"/>
    </xf>
    <xf numFmtId="0" fontId="7" fillId="0" borderId="6" xfId="0" applyFont="1" applyFill="1" applyBorder="1" applyAlignment="1" applyProtection="1">
      <alignment horizontal="left" wrapText="1"/>
      <protection hidden="1"/>
    </xf>
    <xf numFmtId="2" fontId="7" fillId="0" borderId="6" xfId="0" applyNumberFormat="1" applyFont="1" applyFill="1" applyBorder="1" applyAlignment="1" applyProtection="1">
      <alignment horizontal="right"/>
      <protection hidden="1"/>
    </xf>
    <xf numFmtId="1" fontId="7" fillId="0" borderId="6" xfId="0" applyNumberFormat="1" applyFont="1" applyFill="1" applyBorder="1" applyAlignment="1" applyProtection="1">
      <alignment horizontal="right"/>
      <protection hidden="1"/>
    </xf>
    <xf numFmtId="1" fontId="83" fillId="0" borderId="6" xfId="0" applyNumberFormat="1" applyFont="1" applyFill="1" applyBorder="1" applyAlignment="1" applyProtection="1">
      <alignment horizontal="right"/>
      <protection hidden="1"/>
    </xf>
    <xf numFmtId="0" fontId="42" fillId="26" borderId="28" xfId="0" applyFont="1" applyFill="1" applyBorder="1" applyAlignment="1" applyProtection="1">
      <alignment horizontal="center" vertical="center" wrapText="1"/>
      <protection hidden="1"/>
    </xf>
    <xf numFmtId="0" fontId="42" fillId="26" borderId="5" xfId="0" applyFont="1" applyFill="1" applyBorder="1" applyAlignment="1" applyProtection="1">
      <alignment horizontal="center" vertical="center" wrapText="1"/>
      <protection hidden="1"/>
    </xf>
    <xf numFmtId="0" fontId="42" fillId="26" borderId="7" xfId="0" applyFont="1" applyFill="1" applyBorder="1" applyAlignment="1" applyProtection="1">
      <alignment horizontal="center" vertical="center" wrapText="1"/>
      <protection hidden="1"/>
    </xf>
    <xf numFmtId="0" fontId="47" fillId="0" borderId="0" xfId="0" applyFont="1" applyAlignment="1" applyProtection="1">
      <alignment horizontal="center" vertical="top"/>
      <protection hidden="1"/>
    </xf>
    <xf numFmtId="166" fontId="50" fillId="0" borderId="0" xfId="0" applyNumberFormat="1" applyFont="1" applyFill="1" applyBorder="1" applyProtection="1"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2" fontId="47" fillId="0" borderId="0" xfId="0" applyNumberFormat="1" applyFont="1" applyFill="1" applyBorder="1" applyProtection="1"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47" fillId="0" borderId="0" xfId="0" applyFont="1" applyFill="1" applyBorder="1" applyAlignment="1" applyProtection="1">
      <alignment horizontal="left" vertical="center" wrapText="1"/>
      <protection hidden="1"/>
    </xf>
    <xf numFmtId="0" fontId="50" fillId="0" borderId="0" xfId="0" applyFont="1" applyFill="1" applyBorder="1" applyAlignment="1" applyProtection="1">
      <alignment horizontal="center" vertical="justify"/>
      <protection hidden="1"/>
    </xf>
    <xf numFmtId="0" fontId="47" fillId="0" borderId="0" xfId="0" applyFont="1" applyFill="1" applyBorder="1" applyAlignment="1" applyProtection="1">
      <alignment horizontal="left" vertical="justify"/>
      <protection hidden="1"/>
    </xf>
    <xf numFmtId="0" fontId="7" fillId="0" borderId="0" xfId="0" applyFont="1" applyFill="1" applyBorder="1" applyAlignment="1" applyProtection="1">
      <alignment vertical="justify"/>
      <protection hidden="1"/>
    </xf>
    <xf numFmtId="0" fontId="8" fillId="0" borderId="6" xfId="0" applyFont="1" applyFill="1" applyBorder="1" applyAlignment="1" applyProtection="1">
      <alignment horizontal="left" vertical="center" wrapText="1" indent="1"/>
      <protection hidden="1"/>
    </xf>
    <xf numFmtId="2" fontId="8" fillId="17" borderId="6" xfId="0" applyNumberFormat="1" applyFont="1" applyFill="1" applyBorder="1" applyAlignment="1" applyProtection="1">
      <alignment horizontal="right"/>
      <protection hidden="1"/>
    </xf>
    <xf numFmtId="2" fontId="10" fillId="0" borderId="6" xfId="0" applyNumberFormat="1" applyFont="1" applyBorder="1"/>
    <xf numFmtId="0" fontId="9" fillId="0" borderId="6" xfId="0" applyFont="1" applyBorder="1"/>
    <xf numFmtId="166" fontId="26" fillId="0" borderId="6" xfId="0" applyNumberFormat="1" applyFont="1" applyBorder="1" applyAlignment="1" applyProtection="1">
      <alignment horizontal="right"/>
      <protection hidden="1"/>
    </xf>
    <xf numFmtId="10" fontId="58" fillId="20" borderId="48" xfId="0" applyNumberFormat="1" applyFont="1" applyFill="1" applyBorder="1" applyAlignment="1">
      <alignment wrapText="1"/>
    </xf>
    <xf numFmtId="10" fontId="1" fillId="20" borderId="0" xfId="49" applyNumberFormat="1" applyFont="1" applyFill="1" applyBorder="1" applyAlignment="1" applyProtection="1">
      <alignment horizontal="right"/>
      <protection hidden="1"/>
    </xf>
    <xf numFmtId="10" fontId="1" fillId="20" borderId="0" xfId="49" applyNumberFormat="1" applyFont="1" applyFill="1"/>
    <xf numFmtId="0" fontId="58" fillId="20" borderId="48" xfId="0" applyFont="1" applyFill="1" applyBorder="1" applyAlignment="1">
      <alignment wrapText="1"/>
    </xf>
    <xf numFmtId="166" fontId="29" fillId="17" borderId="6" xfId="0" applyNumberFormat="1" applyFont="1" applyFill="1" applyBorder="1" applyAlignment="1" applyProtection="1">
      <alignment horizontal="right"/>
      <protection hidden="1"/>
    </xf>
    <xf numFmtId="166" fontId="26" fillId="17" borderId="6" xfId="0" applyNumberFormat="1" applyFont="1" applyFill="1" applyBorder="1" applyAlignment="1" applyProtection="1">
      <alignment horizontal="right"/>
      <protection hidden="1"/>
    </xf>
    <xf numFmtId="0" fontId="9" fillId="16" borderId="49" xfId="0" applyFont="1" applyFill="1" applyBorder="1" applyAlignment="1" applyProtection="1">
      <alignment vertical="center"/>
      <protection hidden="1"/>
    </xf>
    <xf numFmtId="0" fontId="7" fillId="0" borderId="50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26" fillId="0" borderId="6" xfId="40" applyFont="1" applyFill="1" applyBorder="1" applyAlignment="1">
      <alignment horizontal="center" vertical="center" wrapText="1"/>
    </xf>
    <xf numFmtId="0" fontId="26" fillId="0" borderId="6" xfId="40" applyFont="1" applyBorder="1" applyAlignment="1">
      <alignment horizontal="center" vertical="center" wrapText="1"/>
    </xf>
    <xf numFmtId="0" fontId="116" fillId="17" borderId="6" xfId="40" applyFont="1" applyFill="1" applyBorder="1" applyAlignment="1">
      <alignment horizontal="center" vertical="center" wrapText="1"/>
    </xf>
    <xf numFmtId="49" fontId="116" fillId="0" borderId="6" xfId="40" applyNumberFormat="1" applyFont="1" applyFill="1" applyBorder="1" applyAlignment="1">
      <alignment horizontal="center" vertical="center" wrapText="1"/>
    </xf>
    <xf numFmtId="3" fontId="116" fillId="0" borderId="6" xfId="40" applyNumberFormat="1" applyFont="1" applyFill="1" applyBorder="1" applyAlignment="1">
      <alignment horizontal="center" vertical="center" wrapText="1"/>
    </xf>
    <xf numFmtId="0" fontId="116" fillId="0" borderId="6" xfId="40" applyFont="1" applyFill="1" applyBorder="1" applyAlignment="1">
      <alignment horizontal="center" vertical="center" wrapText="1"/>
    </xf>
    <xf numFmtId="2" fontId="116" fillId="17" borderId="6" xfId="40" applyNumberFormat="1" applyFont="1" applyFill="1" applyBorder="1" applyAlignment="1">
      <alignment horizontal="center" vertical="center" wrapText="1"/>
    </xf>
    <xf numFmtId="0" fontId="26" fillId="17" borderId="6" xfId="40" applyFont="1" applyFill="1" applyBorder="1" applyAlignment="1">
      <alignment horizontal="center" vertical="center" wrapText="1"/>
    </xf>
    <xf numFmtId="3" fontId="116" fillId="17" borderId="6" xfId="40" applyNumberFormat="1" applyFont="1" applyFill="1" applyBorder="1" applyAlignment="1">
      <alignment horizontal="center" vertical="center" wrapText="1"/>
    </xf>
    <xf numFmtId="0" fontId="116" fillId="17" borderId="6" xfId="40" applyFont="1" applyFill="1" applyBorder="1" applyAlignment="1">
      <alignment horizontal="center" wrapText="1"/>
    </xf>
    <xf numFmtId="166" fontId="116" fillId="0" borderId="6" xfId="40" applyNumberFormat="1" applyFont="1" applyFill="1" applyBorder="1" applyAlignment="1">
      <alignment horizontal="center" vertical="center" wrapText="1"/>
    </xf>
    <xf numFmtId="0" fontId="28" fillId="0" borderId="0" xfId="40" applyFont="1" applyBorder="1" applyAlignment="1">
      <alignment horizontal="center" vertical="center" wrapText="1"/>
    </xf>
    <xf numFmtId="0" fontId="28" fillId="0" borderId="0" xfId="40" applyFont="1" applyAlignment="1">
      <alignment horizontal="center" vertical="center" wrapText="1"/>
    </xf>
    <xf numFmtId="0" fontId="28" fillId="17" borderId="0" xfId="40" applyFont="1" applyFill="1" applyAlignment="1">
      <alignment horizontal="center" vertical="center" wrapText="1"/>
    </xf>
    <xf numFmtId="0" fontId="28" fillId="0" borderId="0" xfId="40" applyFont="1"/>
    <xf numFmtId="0" fontId="26" fillId="17" borderId="6" xfId="39" applyFont="1" applyFill="1" applyBorder="1" applyAlignment="1">
      <alignment horizontal="center" vertical="center" wrapText="1"/>
    </xf>
    <xf numFmtId="0" fontId="116" fillId="17" borderId="6" xfId="39" applyFont="1" applyFill="1" applyBorder="1" applyAlignment="1">
      <alignment horizontal="center" vertical="center" wrapText="1"/>
    </xf>
    <xf numFmtId="3" fontId="116" fillId="17" borderId="6" xfId="39" applyNumberFormat="1" applyFont="1" applyFill="1" applyBorder="1" applyAlignment="1">
      <alignment horizontal="center" vertical="center" wrapText="1"/>
    </xf>
    <xf numFmtId="167" fontId="116" fillId="17" borderId="6" xfId="39" applyNumberFormat="1" applyFont="1" applyFill="1" applyBorder="1" applyAlignment="1">
      <alignment horizontal="center" vertical="center" wrapText="1"/>
    </xf>
    <xf numFmtId="1" fontId="116" fillId="17" borderId="6" xfId="39" applyNumberFormat="1" applyFont="1" applyFill="1" applyBorder="1" applyAlignment="1">
      <alignment horizontal="center" vertical="center" wrapText="1"/>
    </xf>
    <xf numFmtId="0" fontId="28" fillId="17" borderId="0" xfId="0" applyFont="1" applyFill="1" applyAlignment="1">
      <alignment horizontal="center" vertical="center" wrapText="1"/>
    </xf>
    <xf numFmtId="0" fontId="123" fillId="17" borderId="0" xfId="0" applyNumberFormat="1" applyFont="1" applyFill="1" applyAlignment="1" applyProtection="1">
      <alignment horizontal="center" vertical="center" wrapText="1"/>
      <protection hidden="1"/>
    </xf>
    <xf numFmtId="2" fontId="123" fillId="17" borderId="0" xfId="0" applyNumberFormat="1" applyFont="1" applyFill="1" applyAlignment="1" applyProtection="1">
      <alignment horizontal="center" vertical="center" wrapText="1"/>
      <protection hidden="1"/>
    </xf>
    <xf numFmtId="0" fontId="114" fillId="17" borderId="0" xfId="0" applyFont="1" applyFill="1" applyBorder="1" applyAlignment="1">
      <alignment horizontal="center" vertical="center"/>
    </xf>
    <xf numFmtId="0" fontId="36" fillId="17" borderId="0" xfId="0" applyFont="1" applyFill="1" applyBorder="1" applyAlignment="1" applyProtection="1">
      <alignment vertical="center" wrapText="1"/>
      <protection locked="0"/>
    </xf>
    <xf numFmtId="2" fontId="29" fillId="0" borderId="51" xfId="0" applyNumberFormat="1" applyFont="1" applyBorder="1"/>
    <xf numFmtId="2" fontId="29" fillId="0" borderId="52" xfId="0" applyNumberFormat="1" applyFont="1" applyBorder="1"/>
    <xf numFmtId="2" fontId="29" fillId="0" borderId="53" xfId="0" applyNumberFormat="1" applyFont="1" applyBorder="1"/>
    <xf numFmtId="0" fontId="28" fillId="0" borderId="50" xfId="0" applyFont="1" applyBorder="1" applyAlignment="1" applyProtection="1">
      <alignment horizontal="right" wrapText="1"/>
      <protection hidden="1"/>
    </xf>
    <xf numFmtId="0" fontId="9" fillId="0" borderId="33" xfId="0" applyFont="1" applyFill="1" applyBorder="1" applyAlignment="1" applyProtection="1">
      <alignment horizontal="left" vertical="center" wrapText="1"/>
      <protection hidden="1"/>
    </xf>
    <xf numFmtId="0" fontId="14" fillId="20" borderId="0" xfId="0" applyFont="1" applyFill="1" applyBorder="1" applyAlignment="1" applyProtection="1">
      <protection hidden="1"/>
    </xf>
    <xf numFmtId="4" fontId="42" fillId="20" borderId="0" xfId="0" applyNumberFormat="1" applyFont="1" applyFill="1" applyBorder="1" applyAlignment="1" applyProtection="1">
      <protection hidden="1"/>
    </xf>
    <xf numFmtId="2" fontId="8" fillId="0" borderId="0" xfId="0" applyNumberFormat="1" applyFont="1"/>
    <xf numFmtId="179" fontId="0" fillId="0" borderId="6" xfId="0" applyNumberFormat="1" applyFont="1" applyFill="1" applyBorder="1"/>
    <xf numFmtId="1" fontId="0" fillId="0" borderId="0" xfId="0" applyNumberFormat="1" applyFont="1" applyFill="1" applyBorder="1"/>
    <xf numFmtId="10" fontId="19" fillId="20" borderId="0" xfId="0" applyNumberFormat="1" applyFont="1" applyFill="1" applyBorder="1" applyAlignment="1">
      <alignment horizontal="left" wrapText="1"/>
    </xf>
    <xf numFmtId="2" fontId="4" fillId="20" borderId="0" xfId="0" applyNumberFormat="1" applyFont="1" applyFill="1" applyBorder="1" applyAlignment="1">
      <alignment horizontal="center" wrapText="1"/>
    </xf>
    <xf numFmtId="10" fontId="4" fillId="20" borderId="0" xfId="49" applyNumberFormat="1" applyFont="1" applyFill="1" applyBorder="1" applyAlignment="1">
      <alignment horizontal="center" wrapText="1"/>
    </xf>
    <xf numFmtId="10" fontId="19" fillId="20" borderId="0" xfId="0" applyNumberFormat="1" applyFont="1" applyFill="1" applyBorder="1" applyAlignment="1">
      <alignment horizontal="center" wrapText="1"/>
    </xf>
    <xf numFmtId="0" fontId="0" fillId="20" borderId="0" xfId="0" applyFill="1" applyBorder="1"/>
    <xf numFmtId="175" fontId="19" fillId="20" borderId="0" xfId="0" applyNumberFormat="1" applyFont="1" applyFill="1" applyBorder="1" applyAlignment="1">
      <alignment horizontal="center" wrapText="1"/>
    </xf>
    <xf numFmtId="0" fontId="0" fillId="20" borderId="0" xfId="0" applyFill="1" applyBorder="1" applyAlignment="1">
      <alignment horizontal="center"/>
    </xf>
    <xf numFmtId="175" fontId="4" fillId="20" borderId="0" xfId="49" applyNumberFormat="1" applyFont="1" applyFill="1" applyBorder="1" applyAlignment="1">
      <alignment horizontal="center" wrapText="1"/>
    </xf>
    <xf numFmtId="0" fontId="26" fillId="0" borderId="8" xfId="0" applyFont="1" applyFill="1" applyBorder="1" applyAlignment="1">
      <alignment horizontal="left"/>
    </xf>
    <xf numFmtId="0" fontId="26" fillId="0" borderId="8" xfId="0" applyFont="1" applyFill="1" applyBorder="1" applyAlignment="1">
      <alignment horizontal="center"/>
    </xf>
    <xf numFmtId="166" fontId="26" fillId="0" borderId="8" xfId="0" applyNumberFormat="1" applyFont="1" applyFill="1" applyBorder="1" applyAlignment="1">
      <alignment horizontal="center"/>
    </xf>
    <xf numFmtId="0" fontId="2" fillId="16" borderId="6" xfId="0" applyFont="1" applyFill="1" applyBorder="1" applyAlignment="1">
      <alignment horizontal="center" vertical="center" wrapText="1"/>
    </xf>
    <xf numFmtId="0" fontId="26" fillId="20" borderId="0" xfId="0" applyFont="1" applyFill="1" applyBorder="1"/>
    <xf numFmtId="0" fontId="2" fillId="17" borderId="6" xfId="0" applyFont="1" applyFill="1" applyBorder="1" applyAlignment="1">
      <alignment horizontal="center" vertical="center" wrapText="1"/>
    </xf>
    <xf numFmtId="10" fontId="26" fillId="17" borderId="0" xfId="0" applyNumberFormat="1" applyFont="1" applyFill="1" applyBorder="1" applyAlignment="1">
      <alignment horizontal="right"/>
    </xf>
    <xf numFmtId="10" fontId="11" fillId="17" borderId="0" xfId="0" applyNumberFormat="1" applyFont="1" applyFill="1" applyBorder="1" applyAlignment="1">
      <alignment horizontal="center" wrapText="1"/>
    </xf>
    <xf numFmtId="10" fontId="10" fillId="17" borderId="0" xfId="31" applyNumberFormat="1" applyFont="1" applyFill="1" applyBorder="1" applyAlignment="1">
      <alignment horizontal="center" wrapText="1"/>
    </xf>
    <xf numFmtId="0" fontId="11" fillId="17" borderId="0" xfId="0" applyFont="1" applyFill="1" applyBorder="1" applyAlignment="1">
      <alignment horizontal="center" wrapText="1"/>
    </xf>
    <xf numFmtId="2" fontId="50" fillId="22" borderId="6" xfId="0" applyNumberFormat="1" applyFont="1" applyFill="1" applyBorder="1" applyAlignment="1">
      <alignment horizontal="right"/>
    </xf>
    <xf numFmtId="2" fontId="50" fillId="23" borderId="6" xfId="0" applyNumberFormat="1" applyFont="1" applyFill="1" applyBorder="1" applyAlignment="1">
      <alignment horizontal="right" wrapText="1"/>
    </xf>
    <xf numFmtId="2" fontId="50" fillId="0" borderId="6" xfId="0" applyNumberFormat="1" applyFont="1" applyFill="1" applyBorder="1" applyAlignment="1">
      <alignment horizontal="right"/>
    </xf>
    <xf numFmtId="166" fontId="50" fillId="25" borderId="6" xfId="0" applyNumberFormat="1" applyFont="1" applyFill="1" applyBorder="1" applyAlignment="1">
      <alignment horizontal="right"/>
    </xf>
    <xf numFmtId="10" fontId="19" fillId="0" borderId="0" xfId="0" applyNumberFormat="1" applyFont="1" applyFill="1" applyBorder="1" applyAlignment="1" applyProtection="1">
      <alignment horizontal="left" wrapText="1"/>
      <protection hidden="1"/>
    </xf>
    <xf numFmtId="10" fontId="4" fillId="0" borderId="0" xfId="49" applyNumberFormat="1" applyFont="1" applyFill="1" applyBorder="1" applyAlignment="1" applyProtection="1">
      <alignment horizontal="center" wrapText="1"/>
      <protection hidden="1"/>
    </xf>
    <xf numFmtId="10" fontId="19" fillId="20" borderId="0" xfId="0" applyNumberFormat="1" applyFont="1" applyFill="1" applyBorder="1" applyAlignment="1" applyProtection="1">
      <alignment horizontal="left" wrapText="1"/>
      <protection hidden="1"/>
    </xf>
    <xf numFmtId="10" fontId="4" fillId="20" borderId="0" xfId="49" applyNumberFormat="1" applyFont="1" applyFill="1" applyBorder="1" applyAlignment="1" applyProtection="1">
      <alignment horizontal="center" wrapText="1"/>
      <protection hidden="1"/>
    </xf>
    <xf numFmtId="180" fontId="4" fillId="20" borderId="0" xfId="49" applyNumberFormat="1" applyFont="1" applyFill="1" applyBorder="1" applyAlignment="1" applyProtection="1">
      <alignment horizontal="center" wrapText="1"/>
      <protection hidden="1"/>
    </xf>
    <xf numFmtId="166" fontId="29" fillId="0" borderId="6" xfId="0" applyNumberFormat="1" applyFont="1" applyBorder="1"/>
    <xf numFmtId="166" fontId="10" fillId="0" borderId="6" xfId="0" applyNumberFormat="1" applyFont="1" applyBorder="1"/>
    <xf numFmtId="0" fontId="26" fillId="0" borderId="0" xfId="0" applyFont="1" applyBorder="1" applyAlignment="1">
      <alignment horizontal="center"/>
    </xf>
    <xf numFmtId="2" fontId="29" fillId="0" borderId="0" xfId="0" applyNumberFormat="1" applyFont="1"/>
    <xf numFmtId="0" fontId="29" fillId="0" borderId="0" xfId="0" applyFont="1"/>
    <xf numFmtId="0" fontId="7" fillId="20" borderId="0" xfId="0" applyFont="1" applyFill="1" applyBorder="1" applyAlignment="1">
      <alignment horizontal="left" wrapText="1"/>
    </xf>
    <xf numFmtId="0" fontId="0" fillId="20" borderId="0" xfId="0" applyFill="1"/>
    <xf numFmtId="2" fontId="26" fillId="0" borderId="0" xfId="0" applyNumberFormat="1" applyFont="1" applyAlignment="1">
      <alignment horizontal="center"/>
    </xf>
    <xf numFmtId="166" fontId="10" fillId="17" borderId="11" xfId="0" applyNumberFormat="1" applyFont="1" applyFill="1" applyBorder="1" applyAlignment="1" applyProtection="1">
      <alignment horizontal="center"/>
      <protection hidden="1"/>
    </xf>
    <xf numFmtId="0" fontId="59" fillId="0" borderId="0" xfId="0" applyFont="1" applyFill="1" applyBorder="1" applyAlignment="1" applyProtection="1">
      <alignment horizontal="right" vertical="justify" wrapText="1"/>
      <protection hidden="1"/>
    </xf>
    <xf numFmtId="180" fontId="4" fillId="0" borderId="0" xfId="49" applyNumberFormat="1" applyFont="1" applyFill="1" applyBorder="1" applyAlignment="1" applyProtection="1">
      <alignment horizontal="center" wrapText="1"/>
      <protection hidden="1"/>
    </xf>
    <xf numFmtId="165" fontId="79" fillId="0" borderId="0" xfId="0" applyNumberFormat="1" applyFont="1" applyFill="1" applyBorder="1" applyAlignment="1" applyProtection="1">
      <alignment wrapText="1"/>
      <protection hidden="1"/>
    </xf>
    <xf numFmtId="165" fontId="16" fillId="0" borderId="0" xfId="0" applyNumberFormat="1" applyFont="1" applyFill="1" applyBorder="1" applyAlignment="1" applyProtection="1">
      <alignment wrapText="1"/>
      <protection hidden="1"/>
    </xf>
    <xf numFmtId="165" fontId="0" fillId="29" borderId="0" xfId="0" applyNumberFormat="1" applyFont="1" applyFill="1" applyBorder="1" applyProtection="1">
      <protection hidden="1"/>
    </xf>
    <xf numFmtId="165" fontId="16" fillId="0" borderId="0" xfId="0" applyNumberFormat="1" applyFont="1" applyBorder="1" applyAlignment="1" applyProtection="1">
      <alignment wrapText="1"/>
      <protection hidden="1"/>
    </xf>
    <xf numFmtId="165" fontId="79" fillId="0" borderId="0" xfId="0" applyNumberFormat="1" applyFont="1" applyBorder="1" applyAlignment="1" applyProtection="1">
      <alignment wrapText="1"/>
      <protection hidden="1"/>
    </xf>
    <xf numFmtId="165" fontId="79" fillId="0" borderId="0" xfId="0" applyNumberFormat="1" applyFont="1" applyBorder="1" applyProtection="1">
      <protection hidden="1"/>
    </xf>
    <xf numFmtId="2" fontId="79" fillId="0" borderId="0" xfId="0" applyNumberFormat="1" applyFont="1" applyBorder="1" applyProtection="1">
      <protection hidden="1"/>
    </xf>
    <xf numFmtId="2" fontId="16" fillId="17" borderId="0" xfId="0" applyNumberFormat="1" applyFont="1" applyFill="1" applyBorder="1" applyProtection="1">
      <protection hidden="1"/>
    </xf>
    <xf numFmtId="0" fontId="126" fillId="0" borderId="0" xfId="0" applyFont="1" applyFill="1" applyBorder="1" applyAlignment="1" applyProtection="1">
      <alignment vertical="justify" wrapText="1"/>
      <protection hidden="1"/>
    </xf>
    <xf numFmtId="0" fontId="126" fillId="0" borderId="0" xfId="0" applyFont="1" applyFill="1" applyBorder="1" applyAlignment="1" applyProtection="1">
      <alignment horizontal="right" vertical="justify" wrapText="1"/>
      <protection hidden="1"/>
    </xf>
    <xf numFmtId="10" fontId="19" fillId="20" borderId="0" xfId="0" applyNumberFormat="1" applyFont="1" applyFill="1" applyBorder="1" applyAlignment="1" applyProtection="1">
      <alignment horizontal="center" wrapText="1"/>
      <protection hidden="1"/>
    </xf>
    <xf numFmtId="180" fontId="19" fillId="20" borderId="0" xfId="0" applyNumberFormat="1" applyFont="1" applyFill="1" applyBorder="1" applyAlignment="1" applyProtection="1">
      <alignment horizontal="center" wrapText="1"/>
      <protection hidden="1"/>
    </xf>
    <xf numFmtId="0" fontId="26" fillId="0" borderId="8" xfId="0" applyFont="1" applyBorder="1" applyAlignment="1" applyProtection="1">
      <alignment horizontal="left" wrapText="1"/>
      <protection hidden="1"/>
    </xf>
    <xf numFmtId="0" fontId="2" fillId="16" borderId="6" xfId="0" applyFont="1" applyFill="1" applyBorder="1" applyAlignment="1" applyProtection="1">
      <alignment horizontal="center" vertical="center" wrapText="1"/>
      <protection hidden="1"/>
    </xf>
    <xf numFmtId="0" fontId="29" fillId="0" borderId="8" xfId="0" applyFont="1" applyBorder="1" applyAlignment="1" applyProtection="1">
      <alignment horizontal="left" wrapText="1"/>
      <protection hidden="1"/>
    </xf>
    <xf numFmtId="165" fontId="16" fillId="0" borderId="8" xfId="0" applyNumberFormat="1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horizontal="left" wrapText="1"/>
      <protection hidden="1"/>
    </xf>
    <xf numFmtId="178" fontId="88" fillId="0" borderId="0" xfId="0" applyNumberFormat="1" applyFont="1" applyBorder="1"/>
    <xf numFmtId="0" fontId="16" fillId="0" borderId="0" xfId="0" applyFont="1" applyFill="1" applyBorder="1" applyAlignment="1" applyProtection="1">
      <alignment horizontal="left" wrapText="1"/>
      <protection hidden="1"/>
    </xf>
    <xf numFmtId="0" fontId="0" fillId="29" borderId="0" xfId="0" applyFont="1" applyFill="1" applyBorder="1" applyAlignment="1" applyProtection="1">
      <alignment horizontal="left" wrapText="1" indent="1"/>
      <protection hidden="1"/>
    </xf>
    <xf numFmtId="165" fontId="29" fillId="29" borderId="0" xfId="0" applyNumberFormat="1" applyFont="1" applyFill="1" applyBorder="1" applyProtection="1">
      <protection hidden="1"/>
    </xf>
    <xf numFmtId="166" fontId="0" fillId="0" borderId="8" xfId="0" applyNumberFormat="1" applyFont="1" applyFill="1" applyBorder="1" applyAlignment="1" applyProtection="1">
      <alignment wrapText="1"/>
      <protection hidden="1"/>
    </xf>
    <xf numFmtId="166" fontId="4" fillId="0" borderId="8" xfId="0" applyNumberFormat="1" applyFont="1" applyBorder="1"/>
    <xf numFmtId="166" fontId="0" fillId="0" borderId="6" xfId="0" applyNumberFormat="1" applyFont="1" applyFill="1" applyBorder="1" applyAlignment="1" applyProtection="1">
      <alignment wrapText="1"/>
      <protection hidden="1"/>
    </xf>
    <xf numFmtId="0" fontId="9" fillId="20" borderId="8" xfId="0" applyFont="1" applyFill="1" applyBorder="1" applyAlignment="1" applyProtection="1">
      <protection hidden="1"/>
    </xf>
    <xf numFmtId="166" fontId="9" fillId="20" borderId="8" xfId="0" applyNumberFormat="1" applyFont="1" applyFill="1" applyBorder="1" applyAlignment="1" applyProtection="1">
      <alignment horizontal="right"/>
      <protection hidden="1"/>
    </xf>
    <xf numFmtId="0" fontId="9" fillId="20" borderId="21" xfId="0" applyFont="1" applyFill="1" applyBorder="1" applyAlignment="1" applyProtection="1">
      <protection hidden="1"/>
    </xf>
    <xf numFmtId="166" fontId="9" fillId="20" borderId="22" xfId="0" applyNumberFormat="1" applyFont="1" applyFill="1" applyBorder="1" applyAlignment="1" applyProtection="1">
      <alignment horizontal="center"/>
      <protection hidden="1"/>
    </xf>
    <xf numFmtId="0" fontId="60" fillId="0" borderId="0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>
      <alignment vertical="top"/>
    </xf>
    <xf numFmtId="4" fontId="0" fillId="0" borderId="0" xfId="0" applyNumberFormat="1" applyFont="1" applyFill="1" applyProtection="1">
      <protection hidden="1"/>
    </xf>
    <xf numFmtId="0" fontId="0" fillId="0" borderId="0" xfId="0" applyFont="1" applyFill="1" applyProtection="1">
      <protection hidden="1"/>
    </xf>
    <xf numFmtId="0" fontId="0" fillId="0" borderId="0" xfId="0" applyFont="1" applyFill="1"/>
    <xf numFmtId="175" fontId="19" fillId="20" borderId="0" xfId="0" applyNumberFormat="1" applyFont="1" applyFill="1" applyBorder="1" applyAlignment="1" applyProtection="1">
      <alignment horizontal="center" wrapText="1"/>
      <protection hidden="1"/>
    </xf>
    <xf numFmtId="0" fontId="0" fillId="20" borderId="0" xfId="0" applyFont="1" applyFill="1"/>
    <xf numFmtId="0" fontId="42" fillId="16" borderId="6" xfId="0" applyFont="1" applyFill="1" applyBorder="1" applyAlignment="1" applyProtection="1">
      <alignment horizontal="center" vertical="center" wrapText="1"/>
      <protection hidden="1"/>
    </xf>
    <xf numFmtId="0" fontId="65" fillId="16" borderId="54" xfId="0" applyFont="1" applyFill="1" applyBorder="1" applyAlignment="1">
      <alignment horizontal="center" vertical="center" wrapText="1"/>
    </xf>
    <xf numFmtId="2" fontId="4" fillId="20" borderId="0" xfId="0" applyNumberFormat="1" applyFont="1" applyFill="1" applyBorder="1" applyAlignment="1" applyProtection="1">
      <alignment horizontal="center" wrapText="1"/>
      <protection hidden="1"/>
    </xf>
    <xf numFmtId="0" fontId="29" fillId="17" borderId="6" xfId="0" applyFont="1" applyFill="1" applyBorder="1" applyAlignment="1" applyProtection="1">
      <alignment horizontal="left" wrapText="1"/>
      <protection hidden="1"/>
    </xf>
    <xf numFmtId="0" fontId="127" fillId="17" borderId="6" xfId="0" applyFont="1" applyFill="1" applyBorder="1" applyAlignment="1" applyProtection="1">
      <alignment horizontal="center" vertical="center" wrapText="1"/>
      <protection hidden="1"/>
    </xf>
    <xf numFmtId="177" fontId="23" fillId="0" borderId="6" xfId="0" applyNumberFormat="1" applyFont="1" applyFill="1" applyBorder="1" applyAlignment="1">
      <alignment horizontal="center" vertical="center" wrapText="1"/>
    </xf>
    <xf numFmtId="170" fontId="74" fillId="17" borderId="0" xfId="0" applyNumberFormat="1" applyFont="1" applyFill="1" applyAlignment="1">
      <alignment horizontal="right"/>
    </xf>
    <xf numFmtId="175" fontId="62" fillId="17" borderId="0" xfId="49" applyNumberFormat="1" applyFont="1" applyFill="1" applyAlignment="1">
      <alignment horizontal="right"/>
    </xf>
    <xf numFmtId="0" fontId="62" fillId="17" borderId="0" xfId="0" applyFont="1" applyFill="1"/>
    <xf numFmtId="175" fontId="0" fillId="17" borderId="0" xfId="49" applyNumberFormat="1" applyFont="1" applyFill="1" applyAlignment="1">
      <alignment horizontal="right"/>
    </xf>
    <xf numFmtId="2" fontId="23" fillId="0" borderId="6" xfId="0" applyNumberFormat="1" applyFont="1" applyFill="1" applyBorder="1" applyAlignment="1" applyProtection="1">
      <alignment horizontal="center" wrapText="1"/>
      <protection hidden="1"/>
    </xf>
    <xf numFmtId="9" fontId="14" fillId="20" borderId="0" xfId="0" applyNumberFormat="1" applyFont="1" applyFill="1" applyProtection="1">
      <protection hidden="1"/>
    </xf>
    <xf numFmtId="0" fontId="7" fillId="20" borderId="0" xfId="0" applyFont="1" applyFill="1" applyAlignment="1" applyProtection="1">
      <alignment horizontal="left" wrapText="1"/>
      <protection hidden="1"/>
    </xf>
    <xf numFmtId="0" fontId="42" fillId="20" borderId="0" xfId="0" applyFont="1" applyFill="1" applyAlignment="1" applyProtection="1">
      <alignment horizontal="left" wrapText="1"/>
      <protection hidden="1"/>
    </xf>
    <xf numFmtId="2" fontId="23" fillId="17" borderId="6" xfId="0" applyNumberFormat="1" applyFont="1" applyFill="1" applyBorder="1" applyAlignment="1" applyProtection="1">
      <alignment horizontal="center" wrapText="1"/>
      <protection hidden="1"/>
    </xf>
    <xf numFmtId="4" fontId="31" fillId="17" borderId="8" xfId="0" applyNumberFormat="1" applyFont="1" applyFill="1" applyBorder="1" applyAlignment="1" applyProtection="1">
      <alignment horizontal="center"/>
      <protection hidden="1"/>
    </xf>
    <xf numFmtId="166" fontId="31" fillId="17" borderId="8" xfId="0" applyNumberFormat="1" applyFont="1" applyFill="1" applyBorder="1" applyAlignment="1" applyProtection="1">
      <alignment horizontal="center"/>
      <protection hidden="1"/>
    </xf>
    <xf numFmtId="4" fontId="31" fillId="17" borderId="6" xfId="0" applyNumberFormat="1" applyFont="1" applyFill="1" applyBorder="1" applyAlignment="1" applyProtection="1">
      <alignment horizontal="center"/>
      <protection hidden="1"/>
    </xf>
    <xf numFmtId="166" fontId="30" fillId="17" borderId="6" xfId="0" applyNumberFormat="1" applyFont="1" applyFill="1" applyBorder="1" applyAlignment="1" applyProtection="1">
      <alignment horizontal="center"/>
      <protection hidden="1"/>
    </xf>
    <xf numFmtId="4" fontId="30" fillId="17" borderId="6" xfId="0" applyNumberFormat="1" applyFont="1" applyFill="1" applyBorder="1" applyAlignment="1" applyProtection="1">
      <alignment horizontal="center"/>
      <protection hidden="1"/>
    </xf>
    <xf numFmtId="166" fontId="26" fillId="0" borderId="6" xfId="0" applyNumberFormat="1" applyFont="1" applyFill="1" applyBorder="1" applyAlignment="1" applyProtection="1">
      <alignment horizontal="center"/>
      <protection hidden="1"/>
    </xf>
    <xf numFmtId="4" fontId="26" fillId="17" borderId="6" xfId="0" applyNumberFormat="1" applyFont="1" applyFill="1" applyBorder="1" applyAlignment="1" applyProtection="1">
      <alignment horizontal="center"/>
      <protection hidden="1"/>
    </xf>
    <xf numFmtId="166" fontId="26" fillId="17" borderId="6" xfId="0" applyNumberFormat="1" applyFont="1" applyFill="1" applyBorder="1" applyAlignment="1" applyProtection="1">
      <alignment horizontal="center"/>
      <protection hidden="1"/>
    </xf>
    <xf numFmtId="2" fontId="26" fillId="17" borderId="6" xfId="0" applyNumberFormat="1" applyFont="1" applyFill="1" applyBorder="1" applyAlignment="1" applyProtection="1">
      <alignment horizontal="center"/>
      <protection hidden="1"/>
    </xf>
    <xf numFmtId="0" fontId="30" fillId="17" borderId="9" xfId="0" applyFont="1" applyFill="1" applyBorder="1" applyAlignment="1" applyProtection="1">
      <alignment wrapText="1"/>
      <protection hidden="1"/>
    </xf>
    <xf numFmtId="0" fontId="26" fillId="17" borderId="27" xfId="0" applyFont="1" applyFill="1" applyBorder="1" applyAlignment="1" applyProtection="1">
      <protection hidden="1"/>
    </xf>
    <xf numFmtId="4" fontId="26" fillId="17" borderId="26" xfId="0" applyNumberFormat="1" applyFont="1" applyFill="1" applyBorder="1" applyAlignment="1" applyProtection="1">
      <alignment horizontal="center"/>
      <protection hidden="1"/>
    </xf>
    <xf numFmtId="166" fontId="26" fillId="17" borderId="26" xfId="0" applyNumberFormat="1" applyFont="1" applyFill="1" applyBorder="1" applyAlignment="1" applyProtection="1">
      <alignment horizontal="center"/>
      <protection hidden="1"/>
    </xf>
    <xf numFmtId="0" fontId="26" fillId="17" borderId="9" xfId="0" applyFont="1" applyFill="1" applyBorder="1" applyAlignment="1" applyProtection="1">
      <protection hidden="1"/>
    </xf>
    <xf numFmtId="0" fontId="30" fillId="17" borderId="9" xfId="0" applyFont="1" applyFill="1" applyBorder="1" applyAlignment="1" applyProtection="1">
      <alignment horizontal="left" wrapText="1"/>
      <protection hidden="1"/>
    </xf>
    <xf numFmtId="0" fontId="26" fillId="17" borderId="9" xfId="0" applyFont="1" applyFill="1" applyBorder="1" applyAlignment="1" applyProtection="1">
      <alignment horizontal="left" wrapText="1"/>
      <protection hidden="1"/>
    </xf>
    <xf numFmtId="0" fontId="31" fillId="0" borderId="13" xfId="0" applyFont="1" applyFill="1" applyBorder="1" applyAlignment="1" applyProtection="1">
      <protection hidden="1"/>
    </xf>
    <xf numFmtId="0" fontId="30" fillId="17" borderId="9" xfId="0" applyFont="1" applyFill="1" applyBorder="1" applyAlignment="1" applyProtection="1">
      <protection hidden="1"/>
    </xf>
    <xf numFmtId="0" fontId="26" fillId="0" borderId="0" xfId="0" applyFont="1" applyAlignment="1" applyProtection="1">
      <alignment wrapText="1"/>
      <protection hidden="1"/>
    </xf>
    <xf numFmtId="165" fontId="26" fillId="0" borderId="0" xfId="0" applyNumberFormat="1" applyFont="1" applyAlignment="1" applyProtection="1">
      <alignment wrapText="1"/>
      <protection hidden="1"/>
    </xf>
    <xf numFmtId="0" fontId="29" fillId="0" borderId="9" xfId="0" applyFont="1" applyFill="1" applyBorder="1" applyAlignment="1" applyProtection="1">
      <protection hidden="1"/>
    </xf>
    <xf numFmtId="166" fontId="31" fillId="0" borderId="6" xfId="0" applyNumberFormat="1" applyFont="1" applyFill="1" applyBorder="1" applyAlignment="1" applyProtection="1">
      <alignment horizontal="center"/>
      <protection hidden="1"/>
    </xf>
    <xf numFmtId="0" fontId="9" fillId="0" borderId="6" xfId="0" applyFont="1" applyFill="1" applyBorder="1" applyAlignment="1" applyProtection="1">
      <alignment wrapText="1"/>
      <protection hidden="1"/>
    </xf>
    <xf numFmtId="166" fontId="29" fillId="0" borderId="6" xfId="0" applyNumberFormat="1" applyFont="1" applyFill="1" applyBorder="1" applyAlignment="1" applyProtection="1">
      <alignment horizontal="center"/>
      <protection hidden="1"/>
    </xf>
    <xf numFmtId="166" fontId="31" fillId="17" borderId="6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10" fillId="0" borderId="0" xfId="0" applyFont="1" applyFill="1"/>
    <xf numFmtId="0" fontId="29" fillId="0" borderId="6" xfId="0" applyFont="1" applyFill="1" applyBorder="1" applyAlignment="1" applyProtection="1">
      <alignment wrapText="1"/>
      <protection hidden="1"/>
    </xf>
    <xf numFmtId="0" fontId="27" fillId="17" borderId="0" xfId="0" applyFont="1" applyFill="1" applyAlignment="1">
      <alignment horizontal="left" wrapText="1"/>
    </xf>
    <xf numFmtId="4" fontId="104" fillId="17" borderId="0" xfId="0" applyNumberFormat="1" applyFont="1" applyFill="1"/>
    <xf numFmtId="4" fontId="129" fillId="17" borderId="0" xfId="0" applyNumberFormat="1" applyFont="1" applyFill="1"/>
    <xf numFmtId="4" fontId="71" fillId="17" borderId="0" xfId="0" applyNumberFormat="1" applyFont="1" applyFill="1"/>
    <xf numFmtId="4" fontId="28" fillId="17" borderId="0" xfId="0" applyNumberFormat="1" applyFont="1" applyFill="1" applyBorder="1"/>
    <xf numFmtId="4" fontId="27" fillId="17" borderId="0" xfId="0" applyNumberFormat="1" applyFont="1" applyFill="1" applyBorder="1"/>
    <xf numFmtId="0" fontId="28" fillId="17" borderId="0" xfId="0" applyFont="1" applyFill="1" applyBorder="1"/>
    <xf numFmtId="0" fontId="122" fillId="17" borderId="6" xfId="0" applyFont="1" applyFill="1" applyBorder="1" applyAlignment="1" applyProtection="1">
      <alignment horizontal="left" indent="2"/>
      <protection hidden="1"/>
    </xf>
    <xf numFmtId="0" fontId="122" fillId="17" borderId="6" xfId="0" applyFont="1" applyFill="1" applyBorder="1" applyAlignment="1" applyProtection="1">
      <alignment horizontal="center"/>
      <protection hidden="1"/>
    </xf>
    <xf numFmtId="166" fontId="122" fillId="17" borderId="6" xfId="0" applyNumberFormat="1" applyFont="1" applyFill="1" applyBorder="1" applyAlignment="1" applyProtection="1">
      <alignment horizontal="center"/>
      <protection hidden="1"/>
    </xf>
    <xf numFmtId="10" fontId="14" fillId="20" borderId="0" xfId="0" applyNumberFormat="1" applyFont="1" applyFill="1" applyProtection="1">
      <protection hidden="1"/>
    </xf>
    <xf numFmtId="0" fontId="26" fillId="0" borderId="26" xfId="0" applyFont="1" applyBorder="1" applyAlignment="1">
      <alignment horizontal="center" vertical="center"/>
    </xf>
    <xf numFmtId="0" fontId="26" fillId="17" borderId="46" xfId="39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8" fillId="0" borderId="6" xfId="0" applyFont="1" applyBorder="1"/>
    <xf numFmtId="4" fontId="28" fillId="0" borderId="6" xfId="0" applyNumberFormat="1" applyFont="1" applyBorder="1"/>
    <xf numFmtId="2" fontId="28" fillId="0" borderId="6" xfId="0" applyNumberFormat="1" applyFont="1" applyBorder="1"/>
    <xf numFmtId="0" fontId="28" fillId="0" borderId="6" xfId="0" applyFont="1" applyFill="1" applyBorder="1"/>
    <xf numFmtId="0" fontId="28" fillId="0" borderId="0" xfId="0" applyFont="1" applyFill="1" applyBorder="1"/>
    <xf numFmtId="175" fontId="9" fillId="0" borderId="33" xfId="49" applyNumberFormat="1" applyFont="1" applyFill="1" applyBorder="1" applyAlignment="1" applyProtection="1">
      <alignment vertical="center" wrapText="1"/>
      <protection hidden="1"/>
    </xf>
    <xf numFmtId="10" fontId="14" fillId="20" borderId="0" xfId="0" applyNumberFormat="1" applyFont="1" applyFill="1" applyAlignment="1" applyProtection="1">
      <alignment horizontal="center"/>
      <protection hidden="1"/>
    </xf>
    <xf numFmtId="2" fontId="1" fillId="17" borderId="6" xfId="44" applyNumberFormat="1" applyFont="1" applyFill="1" applyBorder="1" applyAlignment="1">
      <alignment horizontal="center" vertical="center" wrapText="1"/>
    </xf>
    <xf numFmtId="10" fontId="29" fillId="0" borderId="6" xfId="49" applyNumberFormat="1" applyFont="1" applyBorder="1"/>
    <xf numFmtId="10" fontId="29" fillId="0" borderId="6" xfId="49" applyNumberFormat="1" applyFont="1" applyBorder="1" applyAlignment="1">
      <alignment horizontal="center"/>
    </xf>
    <xf numFmtId="0" fontId="26" fillId="0" borderId="6" xfId="0" applyFont="1" applyBorder="1" applyAlignment="1">
      <alignment wrapText="1"/>
    </xf>
    <xf numFmtId="175" fontId="26" fillId="0" borderId="6" xfId="49" applyNumberFormat="1" applyFont="1" applyBorder="1"/>
    <xf numFmtId="0" fontId="29" fillId="0" borderId="6" xfId="0" applyFont="1" applyFill="1" applyBorder="1" applyAlignment="1">
      <alignment vertical="center" wrapText="1"/>
    </xf>
    <xf numFmtId="10" fontId="29" fillId="0" borderId="6" xfId="49" applyNumberFormat="1" applyFont="1" applyBorder="1" applyAlignment="1">
      <alignment vertical="center"/>
    </xf>
    <xf numFmtId="0" fontId="26" fillId="0" borderId="6" xfId="0" applyFont="1" applyBorder="1" applyAlignment="1">
      <alignment horizontal="center" vertical="center"/>
    </xf>
    <xf numFmtId="0" fontId="130" fillId="0" borderId="0" xfId="0" applyFont="1"/>
    <xf numFmtId="0" fontId="19" fillId="0" borderId="0" xfId="44"/>
    <xf numFmtId="0" fontId="131" fillId="0" borderId="0" xfId="44" applyFont="1"/>
    <xf numFmtId="0" fontId="131" fillId="0" borderId="0" xfId="44" applyFont="1" applyAlignment="1"/>
    <xf numFmtId="2" fontId="131" fillId="0" borderId="0" xfId="44" applyNumberFormat="1" applyFont="1" applyAlignment="1">
      <alignment vertical="center" wrapText="1"/>
    </xf>
    <xf numFmtId="2" fontId="131" fillId="0" borderId="0" xfId="44" applyNumberFormat="1" applyFont="1" applyFill="1" applyAlignment="1">
      <alignment vertical="center" wrapText="1"/>
    </xf>
    <xf numFmtId="0" fontId="132" fillId="0" borderId="0" xfId="44" applyFont="1"/>
    <xf numFmtId="0" fontId="57" fillId="0" borderId="0" xfId="44" applyFont="1" applyAlignment="1">
      <alignment horizontal="center" vertical="center"/>
    </xf>
    <xf numFmtId="2" fontId="65" fillId="0" borderId="0" xfId="44" applyNumberFormat="1" applyFont="1" applyAlignment="1">
      <alignment horizontal="center" vertical="center"/>
    </xf>
    <xf numFmtId="0" fontId="133" fillId="0" borderId="0" xfId="44" applyFont="1" applyAlignment="1">
      <alignment horizontal="center" vertical="center"/>
    </xf>
    <xf numFmtId="0" fontId="19" fillId="0" borderId="55" xfId="44" applyBorder="1"/>
    <xf numFmtId="0" fontId="19" fillId="0" borderId="16" xfId="44" applyBorder="1"/>
    <xf numFmtId="2" fontId="94" fillId="0" borderId="0" xfId="0" applyNumberFormat="1" applyFont="1"/>
    <xf numFmtId="0" fontId="19" fillId="0" borderId="16" xfId="44" applyBorder="1" applyAlignment="1">
      <alignment vertical="center"/>
    </xf>
    <xf numFmtId="0" fontId="6" fillId="0" borderId="16" xfId="44" applyFont="1" applyBorder="1" applyAlignment="1">
      <alignment vertical="center"/>
    </xf>
    <xf numFmtId="0" fontId="6" fillId="0" borderId="16" xfId="44" applyFont="1" applyBorder="1"/>
    <xf numFmtId="0" fontId="0" fillId="0" borderId="0" xfId="0" applyAlignment="1">
      <alignment horizontal="right"/>
    </xf>
    <xf numFmtId="2" fontId="134" fillId="0" borderId="0" xfId="44" applyNumberFormat="1" applyFont="1" applyFill="1" applyAlignment="1">
      <alignment vertical="center" wrapText="1"/>
    </xf>
    <xf numFmtId="1" fontId="134" fillId="0" borderId="0" xfId="44" applyNumberFormat="1" applyFont="1" applyAlignment="1">
      <alignment vertical="center" wrapText="1"/>
    </xf>
    <xf numFmtId="1" fontId="134" fillId="0" borderId="0" xfId="44" applyNumberFormat="1" applyFont="1" applyAlignment="1">
      <alignment horizontal="center" vertical="center"/>
    </xf>
    <xf numFmtId="0" fontId="19" fillId="0" borderId="0" xfId="39"/>
    <xf numFmtId="0" fontId="61" fillId="0" borderId="0" xfId="39" applyFont="1"/>
    <xf numFmtId="2" fontId="61" fillId="0" borderId="0" xfId="39" applyNumberFormat="1" applyFont="1" applyAlignment="1">
      <alignment vertical="center" wrapText="1"/>
    </xf>
    <xf numFmtId="0" fontId="30" fillId="0" borderId="0" xfId="39" applyFont="1"/>
    <xf numFmtId="0" fontId="135" fillId="0" borderId="0" xfId="0" applyFont="1"/>
    <xf numFmtId="0" fontId="61" fillId="0" borderId="0" xfId="39" applyFont="1" applyAlignment="1">
      <alignment vertical="center"/>
    </xf>
    <xf numFmtId="0" fontId="0" fillId="0" borderId="0" xfId="0" applyAlignment="1">
      <alignment wrapText="1"/>
    </xf>
    <xf numFmtId="0" fontId="61" fillId="0" borderId="6" xfId="39" applyFont="1" applyBorder="1" applyAlignment="1">
      <alignment horizontal="center" vertical="top" wrapText="1"/>
    </xf>
    <xf numFmtId="0" fontId="61" fillId="0" borderId="6" xfId="39" applyFont="1" applyBorder="1" applyAlignment="1">
      <alignment horizontal="center" vertical="center" wrapText="1"/>
    </xf>
    <xf numFmtId="0" fontId="61" fillId="0" borderId="56" xfId="39" applyFont="1" applyBorder="1" applyAlignment="1">
      <alignment horizontal="center" vertical="center" wrapText="1"/>
    </xf>
    <xf numFmtId="2" fontId="61" fillId="0" borderId="6" xfId="39" applyNumberFormat="1" applyFont="1" applyBorder="1" applyAlignment="1">
      <alignment horizontal="center" vertical="center" wrapText="1"/>
    </xf>
    <xf numFmtId="167" fontId="61" fillId="0" borderId="57" xfId="39" applyNumberFormat="1" applyFont="1" applyBorder="1" applyAlignment="1">
      <alignment horizontal="center" vertical="center" wrapText="1"/>
    </xf>
    <xf numFmtId="167" fontId="61" fillId="0" borderId="56" xfId="39" applyNumberFormat="1" applyFont="1" applyBorder="1" applyAlignment="1">
      <alignment horizontal="center" vertical="center" wrapText="1"/>
    </xf>
    <xf numFmtId="167" fontId="94" fillId="0" borderId="0" xfId="0" applyNumberFormat="1" applyFont="1"/>
    <xf numFmtId="4" fontId="61" fillId="0" borderId="57" xfId="39" applyNumberFormat="1" applyFont="1" applyBorder="1" applyAlignment="1">
      <alignment horizontal="center" vertical="center" wrapText="1"/>
    </xf>
    <xf numFmtId="0" fontId="61" fillId="0" borderId="57" xfId="39" applyFont="1" applyBorder="1" applyAlignment="1">
      <alignment horizontal="center" vertical="center" wrapText="1"/>
    </xf>
    <xf numFmtId="0" fontId="6" fillId="0" borderId="0" xfId="39" applyFont="1"/>
    <xf numFmtId="2" fontId="136" fillId="0" borderId="6" xfId="39" applyNumberFormat="1" applyFont="1" applyBorder="1" applyAlignment="1">
      <alignment horizontal="center" vertical="center" wrapText="1"/>
    </xf>
    <xf numFmtId="2" fontId="136" fillId="0" borderId="57" xfId="39" applyNumberFormat="1" applyFont="1" applyBorder="1" applyAlignment="1">
      <alignment horizontal="center" vertical="center" wrapText="1"/>
    </xf>
    <xf numFmtId="2" fontId="61" fillId="0" borderId="57" xfId="39" applyNumberFormat="1" applyFont="1" applyBorder="1" applyAlignment="1">
      <alignment horizontal="center" vertical="center" wrapText="1"/>
    </xf>
    <xf numFmtId="167" fontId="136" fillId="0" borderId="57" xfId="39" applyNumberFormat="1" applyFont="1" applyBorder="1" applyAlignment="1">
      <alignment horizontal="center" vertical="center" wrapText="1"/>
    </xf>
    <xf numFmtId="167" fontId="136" fillId="0" borderId="56" xfId="39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36" fillId="0" borderId="6" xfId="44" applyNumberFormat="1" applyFont="1" applyFill="1" applyBorder="1" applyAlignment="1">
      <alignment horizontal="center" vertical="center" wrapText="1"/>
    </xf>
    <xf numFmtId="49" fontId="61" fillId="0" borderId="6" xfId="44" applyNumberFormat="1" applyFont="1" applyBorder="1" applyAlignment="1">
      <alignment horizontal="center" vertical="top" wrapText="1"/>
    </xf>
    <xf numFmtId="0" fontId="61" fillId="0" borderId="57" xfId="44" applyFont="1" applyBorder="1" applyAlignment="1">
      <alignment horizontal="left" vertical="top" wrapText="1"/>
    </xf>
    <xf numFmtId="0" fontId="61" fillId="0" borderId="56" xfId="39" applyFont="1" applyBorder="1" applyAlignment="1">
      <alignment horizontal="center" vertical="top" wrapText="1"/>
    </xf>
    <xf numFmtId="2" fontId="61" fillId="0" borderId="6" xfId="44" applyNumberFormat="1" applyFont="1" applyBorder="1" applyAlignment="1">
      <alignment horizontal="center" vertical="center" wrapText="1"/>
    </xf>
    <xf numFmtId="2" fontId="137" fillId="0" borderId="0" xfId="0" applyNumberFormat="1" applyFont="1"/>
    <xf numFmtId="2" fontId="61" fillId="0" borderId="58" xfId="39" applyNumberFormat="1" applyFont="1" applyBorder="1" applyAlignment="1">
      <alignment horizontal="center" vertical="center" wrapText="1"/>
    </xf>
    <xf numFmtId="0" fontId="61" fillId="0" borderId="58" xfId="39" applyFont="1" applyBorder="1" applyAlignment="1">
      <alignment horizontal="center" vertical="top" wrapText="1"/>
    </xf>
    <xf numFmtId="2" fontId="136" fillId="0" borderId="6" xfId="39" applyNumberFormat="1" applyFont="1" applyFill="1" applyBorder="1" applyAlignment="1">
      <alignment horizontal="center" vertical="center" wrapText="1"/>
    </xf>
    <xf numFmtId="4" fontId="94" fillId="0" borderId="0" xfId="0" applyNumberFormat="1" applyFont="1"/>
    <xf numFmtId="1" fontId="61" fillId="0" borderId="6" xfId="39" applyNumberFormat="1" applyFont="1" applyBorder="1" applyAlignment="1">
      <alignment horizontal="center" vertical="center" wrapText="1"/>
    </xf>
    <xf numFmtId="0" fontId="61" fillId="0" borderId="58" xfId="39" applyFont="1" applyBorder="1" applyAlignment="1">
      <alignment horizontal="center" vertical="center" wrapText="1"/>
    </xf>
    <xf numFmtId="0" fontId="61" fillId="0" borderId="0" xfId="44" applyFont="1" applyAlignment="1">
      <alignment vertical="center"/>
    </xf>
    <xf numFmtId="2" fontId="61" fillId="0" borderId="0" xfId="44" applyNumberFormat="1" applyFont="1" applyFill="1" applyAlignment="1">
      <alignment vertical="center" wrapText="1"/>
    </xf>
    <xf numFmtId="2" fontId="25" fillId="0" borderId="0" xfId="44" applyNumberFormat="1" applyFont="1" applyFill="1" applyAlignment="1">
      <alignment vertical="center" wrapText="1"/>
    </xf>
    <xf numFmtId="2" fontId="25" fillId="0" borderId="0" xfId="44" applyNumberFormat="1" applyFont="1" applyFill="1" applyAlignment="1">
      <alignment horizontal="center" vertical="center" wrapText="1"/>
    </xf>
    <xf numFmtId="2" fontId="98" fillId="0" borderId="0" xfId="39" applyNumberFormat="1" applyFont="1" applyAlignment="1">
      <alignment vertical="center" wrapText="1"/>
    </xf>
    <xf numFmtId="0" fontId="58" fillId="0" borderId="0" xfId="39" applyFont="1"/>
    <xf numFmtId="0" fontId="58" fillId="0" borderId="0" xfId="39" applyFont="1" applyAlignment="1">
      <alignment horizontal="center" vertical="center" wrapText="1"/>
    </xf>
    <xf numFmtId="0" fontId="58" fillId="18" borderId="0" xfId="39" applyFont="1" applyFill="1" applyAlignment="1">
      <alignment horizontal="center" vertical="center" wrapText="1"/>
    </xf>
    <xf numFmtId="0" fontId="58" fillId="0" borderId="0" xfId="39" applyFont="1" applyAlignment="1">
      <alignment horizontal="left"/>
    </xf>
    <xf numFmtId="0" fontId="58" fillId="0" borderId="0" xfId="39" applyFont="1" applyAlignment="1">
      <alignment horizontal="left" vertical="center" wrapText="1"/>
    </xf>
    <xf numFmtId="0" fontId="61" fillId="0" borderId="8" xfId="39" applyFont="1" applyBorder="1" applyAlignment="1">
      <alignment horizontal="center" vertical="center" wrapText="1"/>
    </xf>
    <xf numFmtId="167" fontId="0" fillId="0" borderId="0" xfId="0" applyNumberFormat="1"/>
    <xf numFmtId="167" fontId="61" fillId="0" borderId="6" xfId="39" applyNumberFormat="1" applyFont="1" applyBorder="1" applyAlignment="1">
      <alignment horizontal="center" vertical="center" wrapText="1"/>
    </xf>
    <xf numFmtId="4" fontId="136" fillId="0" borderId="6" xfId="39" applyNumberFormat="1" applyFont="1" applyBorder="1" applyAlignment="1">
      <alignment horizontal="center" vertical="center" wrapText="1"/>
    </xf>
    <xf numFmtId="0" fontId="61" fillId="0" borderId="0" xfId="39" applyFont="1" applyBorder="1"/>
    <xf numFmtId="0" fontId="61" fillId="0" borderId="0" xfId="0" applyFont="1" applyAlignment="1">
      <alignment horizontal="left" indent="6"/>
    </xf>
    <xf numFmtId="0" fontId="61" fillId="0" borderId="0" xfId="0" applyFont="1"/>
    <xf numFmtId="0" fontId="61" fillId="0" borderId="0" xfId="39" applyFont="1" applyAlignment="1">
      <alignment horizontal="center" vertical="center" wrapText="1"/>
    </xf>
    <xf numFmtId="2" fontId="58" fillId="0" borderId="0" xfId="39" applyNumberFormat="1" applyFont="1" applyAlignment="1">
      <alignment horizontal="center" vertical="center" wrapText="1"/>
    </xf>
    <xf numFmtId="2" fontId="97" fillId="0" borderId="0" xfId="39" applyNumberFormat="1" applyFont="1" applyAlignment="1">
      <alignment horizontal="center" vertical="center" wrapText="1"/>
    </xf>
    <xf numFmtId="0" fontId="61" fillId="18" borderId="0" xfId="39" applyFont="1" applyFill="1"/>
    <xf numFmtId="169" fontId="94" fillId="0" borderId="0" xfId="0" applyNumberFormat="1" applyFont="1"/>
    <xf numFmtId="4" fontId="136" fillId="0" borderId="0" xfId="39" applyNumberFormat="1" applyFont="1" applyFill="1" applyBorder="1" applyAlignment="1">
      <alignment horizontal="center" vertical="top" wrapText="1"/>
    </xf>
    <xf numFmtId="4" fontId="61" fillId="0" borderId="0" xfId="39" applyNumberFormat="1" applyFont="1" applyFill="1" applyBorder="1" applyAlignment="1">
      <alignment horizontal="center" vertical="top" wrapText="1"/>
    </xf>
    <xf numFmtId="0" fontId="25" fillId="0" borderId="0" xfId="39" applyFont="1"/>
    <xf numFmtId="0" fontId="25" fillId="17" borderId="0" xfId="39" applyFont="1" applyFill="1"/>
    <xf numFmtId="4" fontId="0" fillId="17" borderId="0" xfId="0" applyNumberFormat="1" applyFill="1"/>
    <xf numFmtId="4" fontId="94" fillId="17" borderId="0" xfId="0" applyNumberFormat="1" applyFont="1" applyFill="1"/>
    <xf numFmtId="0" fontId="57" fillId="0" borderId="0" xfId="39" applyFont="1"/>
    <xf numFmtId="0" fontId="61" fillId="0" borderId="0" xfId="39" applyFont="1" applyBorder="1" applyAlignment="1">
      <alignment wrapText="1"/>
    </xf>
    <xf numFmtId="0" fontId="61" fillId="0" borderId="0" xfId="39" applyFont="1" applyBorder="1" applyAlignment="1">
      <alignment vertical="top" wrapText="1"/>
    </xf>
    <xf numFmtId="0" fontId="25" fillId="0" borderId="0" xfId="39" applyFont="1" applyBorder="1"/>
    <xf numFmtId="0" fontId="25" fillId="0" borderId="0" xfId="44" applyFont="1" applyAlignment="1">
      <alignment vertical="center"/>
    </xf>
    <xf numFmtId="0" fontId="61" fillId="0" borderId="0" xfId="0" applyFont="1" applyAlignment="1">
      <alignment horizontal="center"/>
    </xf>
    <xf numFmtId="2" fontId="61" fillId="0" borderId="0" xfId="39" applyNumberFormat="1" applyFont="1"/>
    <xf numFmtId="0" fontId="58" fillId="0" borderId="0" xfId="39" applyFont="1" applyBorder="1" applyAlignment="1">
      <alignment horizontal="center"/>
    </xf>
    <xf numFmtId="4" fontId="58" fillId="0" borderId="0" xfId="0" applyNumberFormat="1" applyFont="1"/>
    <xf numFmtId="0" fontId="97" fillId="0" borderId="0" xfId="0" applyFont="1"/>
    <xf numFmtId="4" fontId="97" fillId="0" borderId="0" xfId="0" applyNumberFormat="1" applyFont="1"/>
    <xf numFmtId="2" fontId="58" fillId="0" borderId="0" xfId="0" applyNumberFormat="1" applyFont="1"/>
    <xf numFmtId="2" fontId="58" fillId="0" borderId="6" xfId="39" applyNumberFormat="1" applyFont="1" applyBorder="1" applyAlignment="1">
      <alignment horizontal="center" vertical="top" wrapText="1"/>
    </xf>
    <xf numFmtId="2" fontId="65" fillId="0" borderId="0" xfId="0" applyNumberFormat="1" applyFont="1"/>
    <xf numFmtId="2" fontId="57" fillId="0" borderId="0" xfId="0" applyNumberFormat="1" applyFont="1"/>
    <xf numFmtId="170" fontId="58" fillId="0" borderId="0" xfId="0" applyNumberFormat="1" applyFont="1"/>
    <xf numFmtId="2" fontId="97" fillId="0" borderId="0" xfId="0" applyNumberFormat="1" applyFont="1"/>
    <xf numFmtId="0" fontId="65" fillId="0" borderId="6" xfId="39" applyFont="1" applyBorder="1" applyAlignment="1">
      <alignment vertical="top" wrapText="1"/>
    </xf>
    <xf numFmtId="0" fontId="58" fillId="0" borderId="0" xfId="39" applyFont="1" applyBorder="1" applyAlignment="1">
      <alignment horizontal="center" vertical="top" wrapText="1"/>
    </xf>
    <xf numFmtId="0" fontId="58" fillId="0" borderId="0" xfId="39" applyFont="1" applyBorder="1" applyAlignment="1">
      <alignment vertical="top" wrapText="1"/>
    </xf>
    <xf numFmtId="10" fontId="58" fillId="0" borderId="0" xfId="39" applyNumberFormat="1" applyFont="1" applyBorder="1" applyAlignment="1">
      <alignment horizontal="center" vertical="top" wrapText="1"/>
    </xf>
    <xf numFmtId="10" fontId="58" fillId="0" borderId="0" xfId="49" applyNumberFormat="1" applyFont="1" applyBorder="1" applyAlignment="1">
      <alignment horizontal="center" vertical="top" wrapText="1"/>
    </xf>
    <xf numFmtId="0" fontId="58" fillId="0" borderId="0" xfId="39" applyFont="1" applyBorder="1"/>
    <xf numFmtId="0" fontId="58" fillId="0" borderId="0" xfId="0" applyFont="1" applyBorder="1"/>
    <xf numFmtId="2" fontId="138" fillId="0" borderId="0" xfId="39" applyNumberFormat="1" applyFont="1" applyBorder="1"/>
    <xf numFmtId="2" fontId="138" fillId="0" borderId="0" xfId="39" applyNumberFormat="1" applyFont="1"/>
    <xf numFmtId="2" fontId="58" fillId="0" borderId="0" xfId="39" applyNumberFormat="1" applyFont="1"/>
    <xf numFmtId="166" fontId="26" fillId="0" borderId="6" xfId="0" applyNumberFormat="1" applyFont="1" applyBorder="1"/>
    <xf numFmtId="166" fontId="29" fillId="0" borderId="6" xfId="0" applyNumberFormat="1" applyFont="1" applyBorder="1" applyAlignment="1">
      <alignment vertical="center"/>
    </xf>
    <xf numFmtId="166" fontId="26" fillId="0" borderId="6" xfId="0" applyNumberFormat="1" applyFont="1" applyBorder="1" applyAlignment="1">
      <alignment horizontal="center" vertical="center"/>
    </xf>
    <xf numFmtId="0" fontId="136" fillId="16" borderId="6" xfId="39" applyFont="1" applyFill="1" applyBorder="1" applyAlignment="1">
      <alignment horizontal="center" vertical="center" wrapText="1"/>
    </xf>
    <xf numFmtId="4" fontId="61" fillId="17" borderId="6" xfId="0" applyNumberFormat="1" applyFont="1" applyFill="1" applyBorder="1" applyAlignment="1" applyProtection="1">
      <alignment horizontal="center"/>
      <protection hidden="1"/>
    </xf>
    <xf numFmtId="0" fontId="30" fillId="0" borderId="0" xfId="44" applyFont="1"/>
    <xf numFmtId="0" fontId="25" fillId="0" borderId="0" xfId="44" applyFont="1"/>
    <xf numFmtId="0" fontId="25" fillId="0" borderId="0" xfId="44" applyFont="1" applyAlignment="1"/>
    <xf numFmtId="2" fontId="25" fillId="0" borderId="0" xfId="44" applyNumberFormat="1" applyFont="1" applyAlignment="1">
      <alignment vertical="center" wrapText="1"/>
    </xf>
    <xf numFmtId="2" fontId="61" fillId="17" borderId="59" xfId="44" applyNumberFormat="1" applyFont="1" applyFill="1" applyBorder="1" applyAlignment="1">
      <alignment horizontal="center" vertical="center" wrapText="1"/>
    </xf>
    <xf numFmtId="0" fontId="61" fillId="0" borderId="60" xfId="44" applyFont="1" applyBorder="1" applyAlignment="1">
      <alignment horizontal="center" vertical="center" wrapText="1"/>
    </xf>
    <xf numFmtId="2" fontId="136" fillId="0" borderId="56" xfId="44" applyNumberFormat="1" applyFont="1" applyFill="1" applyBorder="1" applyAlignment="1">
      <alignment horizontal="center" vertical="center" wrapText="1"/>
    </xf>
    <xf numFmtId="2" fontId="136" fillId="17" borderId="56" xfId="44" applyNumberFormat="1" applyFont="1" applyFill="1" applyBorder="1" applyAlignment="1">
      <alignment horizontal="center" vertical="center" wrapText="1"/>
    </xf>
    <xf numFmtId="2" fontId="136" fillId="17" borderId="61" xfId="44" applyNumberFormat="1" applyFont="1" applyFill="1" applyBorder="1" applyAlignment="1">
      <alignment horizontal="center" vertical="center" wrapText="1"/>
    </xf>
    <xf numFmtId="49" fontId="61" fillId="0" borderId="60" xfId="44" applyNumberFormat="1" applyFont="1" applyBorder="1" applyAlignment="1">
      <alignment horizontal="center" vertical="center" wrapText="1"/>
    </xf>
    <xf numFmtId="2" fontId="61" fillId="0" borderId="56" xfId="44" applyNumberFormat="1" applyFont="1" applyFill="1" applyBorder="1" applyAlignment="1">
      <alignment horizontal="center" vertical="center" wrapText="1"/>
    </xf>
    <xf numFmtId="2" fontId="61" fillId="17" borderId="56" xfId="44" applyNumberFormat="1" applyFont="1" applyFill="1" applyBorder="1" applyAlignment="1">
      <alignment horizontal="center" vertical="center" wrapText="1"/>
    </xf>
    <xf numFmtId="2" fontId="61" fillId="17" borderId="61" xfId="44" applyNumberFormat="1" applyFont="1" applyFill="1" applyBorder="1" applyAlignment="1">
      <alignment horizontal="center" vertical="center" wrapText="1"/>
    </xf>
    <xf numFmtId="49" fontId="61" fillId="0" borderId="60" xfId="44" applyNumberFormat="1" applyFont="1" applyBorder="1" applyAlignment="1">
      <alignment horizontal="center" vertical="top" wrapText="1"/>
    </xf>
    <xf numFmtId="49" fontId="136" fillId="0" borderId="60" xfId="44" applyNumberFormat="1" applyFont="1" applyBorder="1" applyAlignment="1">
      <alignment horizontal="center" vertical="center" wrapText="1"/>
    </xf>
    <xf numFmtId="2" fontId="136" fillId="17" borderId="62" xfId="44" applyNumberFormat="1" applyFont="1" applyFill="1" applyBorder="1" applyAlignment="1">
      <alignment horizontal="center" vertical="center" wrapText="1"/>
    </xf>
    <xf numFmtId="2" fontId="61" fillId="17" borderId="58" xfId="44" applyNumberFormat="1" applyFont="1" applyFill="1" applyBorder="1" applyAlignment="1">
      <alignment horizontal="center" vertical="center" wrapText="1"/>
    </xf>
    <xf numFmtId="2" fontId="61" fillId="17" borderId="6" xfId="44" applyNumberFormat="1" applyFont="1" applyFill="1" applyBorder="1" applyAlignment="1">
      <alignment horizontal="center" vertical="center" wrapText="1"/>
    </xf>
    <xf numFmtId="1" fontId="61" fillId="0" borderId="56" xfId="44" applyNumberFormat="1" applyFont="1" applyFill="1" applyBorder="1" applyAlignment="1">
      <alignment horizontal="center" vertical="center" wrapText="1"/>
    </xf>
    <xf numFmtId="1" fontId="136" fillId="17" borderId="58" xfId="44" applyNumberFormat="1" applyFont="1" applyFill="1" applyBorder="1" applyAlignment="1">
      <alignment horizontal="center" vertical="center" wrapText="1"/>
    </xf>
    <xf numFmtId="1" fontId="136" fillId="17" borderId="6" xfId="44" applyNumberFormat="1" applyFont="1" applyFill="1" applyBorder="1" applyAlignment="1">
      <alignment horizontal="center" vertical="center" wrapText="1"/>
    </xf>
    <xf numFmtId="0" fontId="61" fillId="0" borderId="56" xfId="44" applyFont="1" applyBorder="1" applyAlignment="1">
      <alignment horizontal="center" vertical="center" wrapText="1"/>
    </xf>
    <xf numFmtId="2" fontId="136" fillId="17" borderId="63" xfId="44" applyNumberFormat="1" applyFont="1" applyFill="1" applyBorder="1" applyAlignment="1">
      <alignment horizontal="center" vertical="center" wrapText="1"/>
    </xf>
    <xf numFmtId="0" fontId="61" fillId="0" borderId="64" xfId="44" applyFont="1" applyBorder="1" applyAlignment="1">
      <alignment horizontal="center" vertical="center" wrapText="1"/>
    </xf>
    <xf numFmtId="0" fontId="61" fillId="0" borderId="65" xfId="44" applyFont="1" applyBorder="1" applyAlignment="1">
      <alignment horizontal="center" vertical="center" wrapText="1"/>
    </xf>
    <xf numFmtId="2" fontId="136" fillId="0" borderId="65" xfId="44" applyNumberFormat="1" applyFont="1" applyFill="1" applyBorder="1" applyAlignment="1">
      <alignment horizontal="center" vertical="center" wrapText="1"/>
    </xf>
    <xf numFmtId="2" fontId="136" fillId="17" borderId="65" xfId="44" applyNumberFormat="1" applyFont="1" applyFill="1" applyBorder="1" applyAlignment="1">
      <alignment horizontal="center" vertical="center" wrapText="1"/>
    </xf>
    <xf numFmtId="2" fontId="61" fillId="0" borderId="61" xfId="44" applyNumberFormat="1" applyFont="1" applyFill="1" applyBorder="1" applyAlignment="1">
      <alignment horizontal="center" vertical="center" wrapText="1"/>
    </xf>
    <xf numFmtId="2" fontId="61" fillId="0" borderId="62" xfId="44" applyNumberFormat="1" applyFont="1" applyFill="1" applyBorder="1" applyAlignment="1">
      <alignment horizontal="center" vertical="center" wrapText="1"/>
    </xf>
    <xf numFmtId="2" fontId="61" fillId="17" borderId="62" xfId="44" applyNumberFormat="1" applyFont="1" applyFill="1" applyBorder="1" applyAlignment="1">
      <alignment horizontal="center" vertical="center" wrapText="1"/>
    </xf>
    <xf numFmtId="0" fontId="61" fillId="0" borderId="6" xfId="44" applyFont="1" applyBorder="1" applyAlignment="1">
      <alignment horizontal="center" vertical="center" wrapText="1"/>
    </xf>
    <xf numFmtId="0" fontId="136" fillId="0" borderId="57" xfId="44" applyFont="1" applyBorder="1" applyAlignment="1">
      <alignment horizontal="left" vertical="center" wrapText="1"/>
    </xf>
    <xf numFmtId="0" fontId="61" fillId="0" borderId="57" xfId="44" applyFont="1" applyBorder="1" applyAlignment="1">
      <alignment horizontal="left" vertical="center" wrapText="1"/>
    </xf>
    <xf numFmtId="0" fontId="61" fillId="0" borderId="66" xfId="44" applyFont="1" applyBorder="1" applyAlignment="1">
      <alignment horizontal="left" vertical="center" wrapText="1"/>
    </xf>
    <xf numFmtId="0" fontId="61" fillId="0" borderId="67" xfId="44" applyFont="1" applyBorder="1" applyAlignment="1">
      <alignment horizontal="left" vertical="center" wrapText="1"/>
    </xf>
    <xf numFmtId="4" fontId="136" fillId="0" borderId="57" xfId="39" applyNumberFormat="1" applyFont="1" applyBorder="1" applyAlignment="1">
      <alignment horizontal="center" vertical="center" wrapText="1"/>
    </xf>
    <xf numFmtId="49" fontId="136" fillId="0" borderId="60" xfId="44" applyNumberFormat="1" applyFont="1" applyBorder="1" applyAlignment="1">
      <alignment horizontal="center" vertical="top" wrapText="1"/>
    </xf>
    <xf numFmtId="49" fontId="136" fillId="0" borderId="64" xfId="44" applyNumberFormat="1" applyFont="1" applyBorder="1" applyAlignment="1">
      <alignment horizontal="center" vertical="center" wrapText="1"/>
    </xf>
    <xf numFmtId="0" fontId="136" fillId="0" borderId="68" xfId="44" applyFont="1" applyBorder="1" applyAlignment="1">
      <alignment horizontal="center" vertical="center" wrapText="1"/>
    </xf>
    <xf numFmtId="0" fontId="136" fillId="0" borderId="57" xfId="39" applyFont="1" applyBorder="1" applyAlignment="1">
      <alignment vertical="center" wrapText="1"/>
    </xf>
    <xf numFmtId="0" fontId="136" fillId="0" borderId="57" xfId="39" applyFont="1" applyBorder="1" applyAlignment="1">
      <alignment horizontal="left" vertical="center" wrapText="1"/>
    </xf>
    <xf numFmtId="0" fontId="61" fillId="0" borderId="57" xfId="39" applyFont="1" applyBorder="1" applyAlignment="1">
      <alignment horizontal="left" vertical="center" wrapText="1"/>
    </xf>
    <xf numFmtId="0" fontId="136" fillId="0" borderId="6" xfId="39" applyFont="1" applyBorder="1" applyAlignment="1">
      <alignment horizontal="center" vertical="center" wrapText="1"/>
    </xf>
    <xf numFmtId="0" fontId="10" fillId="17" borderId="6" xfId="0" applyFont="1" applyFill="1" applyBorder="1" applyAlignment="1" applyProtection="1">
      <alignment horizontal="left" wrapText="1" indent="3"/>
      <protection hidden="1"/>
    </xf>
    <xf numFmtId="167" fontId="136" fillId="0" borderId="6" xfId="39" applyNumberFormat="1" applyFont="1" applyBorder="1" applyAlignment="1">
      <alignment horizontal="center" vertical="center" wrapText="1"/>
    </xf>
    <xf numFmtId="167" fontId="61" fillId="0" borderId="6" xfId="44" applyNumberFormat="1" applyFont="1" applyBorder="1" applyAlignment="1">
      <alignment horizontal="center" vertical="center" wrapText="1"/>
    </xf>
    <xf numFmtId="0" fontId="25" fillId="0" borderId="0" xfId="44" applyFont="1" applyAlignment="1">
      <alignment horizontal="center" vertical="center"/>
    </xf>
    <xf numFmtId="0" fontId="58" fillId="0" borderId="0" xfId="39" applyFont="1" applyAlignment="1">
      <alignment horizontal="right" vertical="center" wrapText="1"/>
    </xf>
    <xf numFmtId="167" fontId="136" fillId="17" borderId="6" xfId="0" applyNumberFormat="1" applyFont="1" applyFill="1" applyBorder="1" applyAlignment="1" applyProtection="1">
      <alignment horizontal="center" vertical="center"/>
      <protection hidden="1"/>
    </xf>
    <xf numFmtId="167" fontId="61" fillId="17" borderId="6" xfId="0" applyNumberFormat="1" applyFont="1" applyFill="1" applyBorder="1" applyAlignment="1" applyProtection="1">
      <alignment horizontal="center"/>
      <protection hidden="1"/>
    </xf>
    <xf numFmtId="167" fontId="136" fillId="17" borderId="56" xfId="44" applyNumberFormat="1" applyFont="1" applyFill="1" applyBorder="1" applyAlignment="1">
      <alignment horizontal="center" vertical="center" wrapText="1"/>
    </xf>
    <xf numFmtId="167" fontId="136" fillId="17" borderId="6" xfId="0" applyNumberFormat="1" applyFont="1" applyFill="1" applyBorder="1" applyAlignment="1" applyProtection="1">
      <alignment horizontal="center"/>
      <protection hidden="1"/>
    </xf>
    <xf numFmtId="172" fontId="136" fillId="0" borderId="6" xfId="39" applyNumberFormat="1" applyFont="1" applyBorder="1" applyAlignment="1">
      <alignment horizontal="center" vertical="center" wrapText="1"/>
    </xf>
    <xf numFmtId="172" fontId="61" fillId="0" borderId="6" xfId="39" applyNumberFormat="1" applyFont="1" applyBorder="1" applyAlignment="1">
      <alignment horizontal="center" vertical="center" wrapText="1"/>
    </xf>
    <xf numFmtId="166" fontId="0" fillId="0" borderId="0" xfId="0" applyNumberFormat="1"/>
    <xf numFmtId="0" fontId="58" fillId="17" borderId="0" xfId="39" applyFont="1" applyFill="1"/>
    <xf numFmtId="0" fontId="136" fillId="0" borderId="56" xfId="44" applyFont="1" applyBorder="1" applyAlignment="1">
      <alignment horizontal="center" vertical="center" wrapText="1"/>
    </xf>
    <xf numFmtId="0" fontId="136" fillId="0" borderId="6" xfId="39" applyFont="1" applyBorder="1" applyAlignment="1">
      <alignment vertical="top" wrapText="1"/>
    </xf>
    <xf numFmtId="0" fontId="61" fillId="0" borderId="6" xfId="39" applyFont="1" applyBorder="1" applyAlignment="1">
      <alignment horizontal="left" vertical="top" wrapText="1" indent="1"/>
    </xf>
    <xf numFmtId="0" fontId="61" fillId="17" borderId="6" xfId="39" applyFont="1" applyFill="1" applyBorder="1" applyAlignment="1">
      <alignment horizontal="left" vertical="top" wrapText="1" indent="1"/>
    </xf>
    <xf numFmtId="2" fontId="50" fillId="23" borderId="6" xfId="0" applyNumberFormat="1" applyFont="1" applyFill="1" applyBorder="1" applyAlignment="1">
      <alignment horizontal="right"/>
    </xf>
    <xf numFmtId="0" fontId="9" fillId="16" borderId="6" xfId="0" applyFont="1" applyFill="1" applyBorder="1" applyAlignment="1" applyProtection="1">
      <alignment horizontal="center" vertical="center" wrapText="1"/>
      <protection hidden="1"/>
    </xf>
    <xf numFmtId="0" fontId="29" fillId="16" borderId="6" xfId="0" applyFont="1" applyFill="1" applyBorder="1" applyAlignment="1" applyProtection="1">
      <alignment horizontal="center" vertical="center" wrapText="1"/>
      <protection hidden="1"/>
    </xf>
    <xf numFmtId="0" fontId="95" fillId="0" borderId="0" xfId="0" applyFont="1" applyAlignment="1">
      <alignment horizontal="center"/>
    </xf>
    <xf numFmtId="0" fontId="51" fillId="0" borderId="6" xfId="0" applyFont="1" applyBorder="1" applyAlignment="1">
      <alignment horizontal="center" vertical="center" wrapText="1"/>
    </xf>
    <xf numFmtId="0" fontId="47" fillId="0" borderId="6" xfId="0" applyNumberFormat="1" applyFont="1" applyBorder="1" applyAlignment="1">
      <alignment horizontal="center" vertical="center"/>
    </xf>
    <xf numFmtId="0" fontId="47" fillId="0" borderId="6" xfId="0" applyFont="1" applyBorder="1" applyAlignment="1">
      <alignment horizontal="left" vertical="center" wrapText="1"/>
    </xf>
    <xf numFmtId="0" fontId="47" fillId="0" borderId="6" xfId="0" applyFont="1" applyBorder="1" applyAlignment="1">
      <alignment horizontal="center"/>
    </xf>
    <xf numFmtId="166" fontId="47" fillId="0" borderId="6" xfId="0" applyNumberFormat="1" applyFont="1" applyBorder="1"/>
    <xf numFmtId="166" fontId="47" fillId="17" borderId="6" xfId="0" applyNumberFormat="1" applyFont="1" applyFill="1" applyBorder="1"/>
    <xf numFmtId="0" fontId="47" fillId="17" borderId="6" xfId="0" applyFont="1" applyFill="1" applyBorder="1"/>
    <xf numFmtId="0" fontId="47" fillId="0" borderId="6" xfId="0" applyFont="1" applyBorder="1"/>
    <xf numFmtId="16" fontId="47" fillId="0" borderId="6" xfId="0" applyNumberFormat="1" applyFont="1" applyBorder="1" applyAlignment="1">
      <alignment horizontal="center" vertical="center"/>
    </xf>
    <xf numFmtId="0" fontId="47" fillId="0" borderId="6" xfId="0" applyFont="1" applyBorder="1" applyAlignment="1">
      <alignment horizontal="left" vertical="center"/>
    </xf>
    <xf numFmtId="167" fontId="47" fillId="0" borderId="6" xfId="0" applyNumberFormat="1" applyFont="1" applyBorder="1"/>
    <xf numFmtId="2" fontId="47" fillId="0" borderId="6" xfId="0" applyNumberFormat="1" applyFont="1" applyBorder="1"/>
    <xf numFmtId="167" fontId="47" fillId="17" borderId="6" xfId="0" applyNumberFormat="1" applyFont="1" applyFill="1" applyBorder="1"/>
    <xf numFmtId="2" fontId="47" fillId="17" borderId="6" xfId="0" applyNumberFormat="1" applyFont="1" applyFill="1" applyBorder="1"/>
    <xf numFmtId="0" fontId="50" fillId="0" borderId="6" xfId="0" applyFont="1" applyBorder="1" applyAlignment="1">
      <alignment horizontal="center"/>
    </xf>
    <xf numFmtId="2" fontId="50" fillId="0" borderId="6" xfId="0" applyNumberFormat="1" applyFont="1" applyBorder="1"/>
    <xf numFmtId="2" fontId="50" fillId="17" borderId="6" xfId="0" applyNumberFormat="1" applyFont="1" applyFill="1" applyBorder="1"/>
    <xf numFmtId="16" fontId="50" fillId="0" borderId="6" xfId="0" applyNumberFormat="1" applyFont="1" applyBorder="1" applyAlignment="1">
      <alignment horizontal="center" vertical="center"/>
    </xf>
    <xf numFmtId="166" fontId="50" fillId="0" borderId="6" xfId="0" applyNumberFormat="1" applyFont="1" applyBorder="1"/>
    <xf numFmtId="167" fontId="50" fillId="0" borderId="6" xfId="0" applyNumberFormat="1" applyFont="1" applyBorder="1"/>
    <xf numFmtId="166" fontId="50" fillId="17" borderId="6" xfId="0" applyNumberFormat="1" applyFont="1" applyFill="1" applyBorder="1"/>
    <xf numFmtId="167" fontId="50" fillId="17" borderId="6" xfId="0" applyNumberFormat="1" applyFont="1" applyFill="1" applyBorder="1"/>
    <xf numFmtId="0" fontId="50" fillId="0" borderId="6" xfId="0" applyNumberFormat="1" applyFont="1" applyBorder="1" applyAlignment="1">
      <alignment horizontal="center" vertical="center"/>
    </xf>
    <xf numFmtId="166" fontId="47" fillId="0" borderId="6" xfId="0" applyNumberFormat="1" applyFont="1" applyBorder="1" applyAlignment="1">
      <alignment vertical="center"/>
    </xf>
    <xf numFmtId="166" fontId="47" fillId="17" borderId="6" xfId="0" applyNumberFormat="1" applyFont="1" applyFill="1" applyBorder="1" applyAlignment="1">
      <alignment vertical="center"/>
    </xf>
    <xf numFmtId="0" fontId="47" fillId="17" borderId="6" xfId="0" applyFont="1" applyFill="1" applyBorder="1" applyAlignment="1">
      <alignment vertical="center"/>
    </xf>
    <xf numFmtId="0" fontId="47" fillId="0" borderId="6" xfId="0" applyFont="1" applyBorder="1" applyAlignment="1">
      <alignment vertical="center"/>
    </xf>
    <xf numFmtId="0" fontId="136" fillId="16" borderId="6" xfId="39" applyFont="1" applyFill="1" applyBorder="1" applyAlignment="1">
      <alignment horizontal="center" vertical="top" wrapText="1"/>
    </xf>
    <xf numFmtId="0" fontId="136" fillId="0" borderId="6" xfId="39" applyFont="1" applyBorder="1" applyAlignment="1">
      <alignment horizontal="center" vertical="top" wrapText="1"/>
    </xf>
    <xf numFmtId="4" fontId="136" fillId="0" borderId="6" xfId="39" applyNumberFormat="1" applyFont="1" applyBorder="1" applyAlignment="1">
      <alignment horizontal="center" vertical="top" wrapText="1"/>
    </xf>
    <xf numFmtId="4" fontId="61" fillId="0" borderId="6" xfId="39" applyNumberFormat="1" applyFont="1" applyBorder="1" applyAlignment="1">
      <alignment horizontal="center" vertical="top" wrapText="1"/>
    </xf>
    <xf numFmtId="4" fontId="61" fillId="17" borderId="6" xfId="39" applyNumberFormat="1" applyFont="1" applyFill="1" applyBorder="1" applyAlignment="1">
      <alignment horizontal="center" vertical="top" wrapText="1"/>
    </xf>
    <xf numFmtId="2" fontId="61" fillId="17" borderId="6" xfId="39" applyNumberFormat="1" applyFont="1" applyFill="1" applyBorder="1" applyAlignment="1">
      <alignment horizontal="center" vertical="top" wrapText="1"/>
    </xf>
    <xf numFmtId="4" fontId="136" fillId="0" borderId="6" xfId="39" applyNumberFormat="1" applyFont="1" applyFill="1" applyBorder="1" applyAlignment="1">
      <alignment horizontal="center" vertical="top" wrapText="1"/>
    </xf>
    <xf numFmtId="4" fontId="61" fillId="0" borderId="6" xfId="39" applyNumberFormat="1" applyFont="1" applyFill="1" applyBorder="1" applyAlignment="1">
      <alignment horizontal="center" vertical="top" wrapText="1"/>
    </xf>
    <xf numFmtId="4" fontId="61" fillId="0" borderId="6" xfId="39" applyNumberFormat="1" applyFont="1" applyBorder="1" applyAlignment="1">
      <alignment horizontal="center" vertical="center" wrapText="1"/>
    </xf>
    <xf numFmtId="0" fontId="136" fillId="17" borderId="6" xfId="39" applyFont="1" applyFill="1" applyBorder="1" applyAlignment="1">
      <alignment horizontal="center" vertical="center" wrapText="1"/>
    </xf>
    <xf numFmtId="0" fontId="61" fillId="17" borderId="6" xfId="39" applyFont="1" applyFill="1" applyBorder="1" applyAlignment="1">
      <alignment horizontal="center" vertical="center" wrapText="1"/>
    </xf>
    <xf numFmtId="4" fontId="61" fillId="17" borderId="6" xfId="39" applyNumberFormat="1" applyFont="1" applyFill="1" applyBorder="1" applyAlignment="1">
      <alignment horizontal="center" vertical="center" wrapText="1"/>
    </xf>
    <xf numFmtId="10" fontId="61" fillId="17" borderId="6" xfId="49" applyNumberFormat="1" applyFont="1" applyFill="1" applyBorder="1" applyAlignment="1">
      <alignment horizontal="center" vertical="top" wrapText="1"/>
    </xf>
    <xf numFmtId="0" fontId="65" fillId="16" borderId="6" xfId="39" applyFont="1" applyFill="1" applyBorder="1" applyAlignment="1">
      <alignment horizontal="center" vertical="center" wrapText="1"/>
    </xf>
    <xf numFmtId="0" fontId="58" fillId="0" borderId="6" xfId="39" applyFont="1" applyBorder="1" applyAlignment="1">
      <alignment horizontal="center" vertical="top" wrapText="1"/>
    </xf>
    <xf numFmtId="0" fontId="58" fillId="0" borderId="6" xfId="39" applyFont="1" applyBorder="1" applyAlignment="1">
      <alignment vertical="top" wrapText="1"/>
    </xf>
    <xf numFmtId="166" fontId="58" fillId="0" borderId="6" xfId="39" applyNumberFormat="1" applyFont="1" applyBorder="1" applyAlignment="1">
      <alignment horizontal="center" vertical="top" wrapText="1"/>
    </xf>
    <xf numFmtId="4" fontId="58" fillId="0" borderId="6" xfId="39" applyNumberFormat="1" applyFont="1" applyBorder="1" applyAlignment="1">
      <alignment horizontal="center" vertical="top" wrapText="1"/>
    </xf>
    <xf numFmtId="4" fontId="58" fillId="0" borderId="6" xfId="39" applyNumberFormat="1" applyFont="1" applyBorder="1" applyAlignment="1">
      <alignment horizontal="center" vertical="center" wrapText="1"/>
    </xf>
    <xf numFmtId="2" fontId="58" fillId="0" borderId="6" xfId="39" applyNumberFormat="1" applyFont="1" applyBorder="1" applyAlignment="1">
      <alignment horizontal="center" vertical="center" wrapText="1"/>
    </xf>
    <xf numFmtId="0" fontId="58" fillId="17" borderId="6" xfId="39" applyFont="1" applyFill="1" applyBorder="1" applyAlignment="1">
      <alignment vertical="top" wrapText="1"/>
    </xf>
    <xf numFmtId="0" fontId="58" fillId="17" borderId="6" xfId="39" applyFont="1" applyFill="1" applyBorder="1" applyAlignment="1">
      <alignment horizontal="center" vertical="top" wrapText="1"/>
    </xf>
    <xf numFmtId="4" fontId="58" fillId="17" borderId="6" xfId="39" applyNumberFormat="1" applyFont="1" applyFill="1" applyBorder="1" applyAlignment="1">
      <alignment horizontal="center" vertical="top" wrapText="1"/>
    </xf>
    <xf numFmtId="2" fontId="58" fillId="17" borderId="6" xfId="39" applyNumberFormat="1" applyFont="1" applyFill="1" applyBorder="1" applyAlignment="1">
      <alignment horizontal="center" vertical="top" wrapText="1"/>
    </xf>
    <xf numFmtId="0" fontId="58" fillId="0" borderId="6" xfId="39" applyFont="1" applyBorder="1" applyAlignment="1">
      <alignment horizontal="center" vertical="center" wrapText="1"/>
    </xf>
    <xf numFmtId="10" fontId="58" fillId="0" borderId="6" xfId="49" applyNumberFormat="1" applyFont="1" applyBorder="1" applyAlignment="1">
      <alignment horizontal="center" vertical="top" wrapText="1"/>
    </xf>
    <xf numFmtId="2" fontId="65" fillId="16" borderId="6" xfId="44" applyNumberFormat="1" applyFont="1" applyFill="1" applyBorder="1" applyAlignment="1">
      <alignment horizontal="center" vertical="center" wrapText="1"/>
    </xf>
    <xf numFmtId="0" fontId="61" fillId="0" borderId="6" xfId="39" applyFont="1" applyBorder="1" applyAlignment="1">
      <alignment horizontal="left" vertical="top" wrapText="1" indent="2"/>
    </xf>
    <xf numFmtId="0" fontId="136" fillId="0" borderId="6" xfId="39" applyFont="1" applyBorder="1" applyAlignment="1">
      <alignment vertical="center" wrapText="1"/>
    </xf>
    <xf numFmtId="0" fontId="61" fillId="0" borderId="6" xfId="44" applyFont="1" applyBorder="1" applyAlignment="1">
      <alignment horizontal="left" vertical="top" wrapText="1"/>
    </xf>
    <xf numFmtId="0" fontId="61" fillId="0" borderId="69" xfId="39" applyFont="1" applyBorder="1" applyAlignment="1">
      <alignment horizontal="left" vertical="center" wrapText="1"/>
    </xf>
    <xf numFmtId="0" fontId="61" fillId="0" borderId="59" xfId="39" applyFont="1" applyBorder="1" applyAlignment="1">
      <alignment horizontal="center" vertical="center" wrapText="1"/>
    </xf>
    <xf numFmtId="2" fontId="61" fillId="0" borderId="8" xfId="39" applyNumberFormat="1" applyFont="1" applyBorder="1" applyAlignment="1">
      <alignment horizontal="center" vertical="center" wrapText="1"/>
    </xf>
    <xf numFmtId="4" fontId="61" fillId="0" borderId="69" xfId="39" applyNumberFormat="1" applyFont="1" applyBorder="1" applyAlignment="1">
      <alignment horizontal="center" vertical="center" wrapText="1"/>
    </xf>
    <xf numFmtId="2" fontId="136" fillId="16" borderId="6" xfId="44" applyNumberFormat="1" applyFont="1" applyFill="1" applyBorder="1" applyAlignment="1">
      <alignment horizontal="center" vertical="center" wrapText="1"/>
    </xf>
    <xf numFmtId="2" fontId="136" fillId="16" borderId="6" xfId="44" applyNumberFormat="1" applyFont="1" applyFill="1" applyBorder="1" applyAlignment="1">
      <alignment horizontal="center" vertical="top" wrapText="1"/>
    </xf>
    <xf numFmtId="0" fontId="136" fillId="0" borderId="6" xfId="39" applyFont="1" applyBorder="1" applyAlignment="1">
      <alignment horizontal="left" vertical="center" wrapText="1"/>
    </xf>
    <xf numFmtId="0" fontId="61" fillId="0" borderId="6" xfId="39" applyFont="1" applyBorder="1" applyAlignment="1">
      <alignment horizontal="left" vertical="center" wrapText="1"/>
    </xf>
    <xf numFmtId="49" fontId="61" fillId="0" borderId="68" xfId="44" applyNumberFormat="1" applyFont="1" applyBorder="1" applyAlignment="1">
      <alignment horizontal="center" vertical="center" wrapText="1"/>
    </xf>
    <xf numFmtId="0" fontId="61" fillId="0" borderId="69" xfId="44" applyFont="1" applyBorder="1" applyAlignment="1">
      <alignment horizontal="left" vertical="top" wrapText="1"/>
    </xf>
    <xf numFmtId="0" fontId="61" fillId="0" borderId="59" xfId="44" applyFont="1" applyBorder="1" applyAlignment="1">
      <alignment horizontal="center" vertical="center" wrapText="1"/>
    </xf>
    <xf numFmtId="2" fontId="61" fillId="0" borderId="59" xfId="44" applyNumberFormat="1" applyFont="1" applyFill="1" applyBorder="1" applyAlignment="1">
      <alignment horizontal="center" vertical="center" wrapText="1"/>
    </xf>
    <xf numFmtId="2" fontId="61" fillId="17" borderId="63" xfId="44" applyNumberFormat="1" applyFont="1" applyFill="1" applyBorder="1" applyAlignment="1">
      <alignment horizontal="center" vertical="center" wrapText="1"/>
    </xf>
    <xf numFmtId="0" fontId="61" fillId="0" borderId="6" xfId="44" applyFont="1" applyBorder="1" applyAlignment="1">
      <alignment horizontal="center" vertical="top" wrapText="1"/>
    </xf>
    <xf numFmtId="0" fontId="136" fillId="0" borderId="6" xfId="44" applyFont="1" applyBorder="1" applyAlignment="1">
      <alignment horizontal="left" vertical="center" wrapText="1"/>
    </xf>
    <xf numFmtId="0" fontId="136" fillId="0" borderId="6" xfId="44" applyFont="1" applyBorder="1" applyAlignment="1">
      <alignment horizontal="center" vertical="center" wrapText="1"/>
    </xf>
    <xf numFmtId="2" fontId="136" fillId="17" borderId="6" xfId="44" applyNumberFormat="1" applyFont="1" applyFill="1" applyBorder="1" applyAlignment="1">
      <alignment horizontal="center" vertical="center" wrapText="1"/>
    </xf>
    <xf numFmtId="177" fontId="23" fillId="17" borderId="6" xfId="0" applyNumberFormat="1" applyFont="1" applyFill="1" applyBorder="1" applyAlignment="1">
      <alignment horizontal="center" wrapText="1"/>
    </xf>
    <xf numFmtId="176" fontId="0" fillId="17" borderId="0" xfId="0" applyNumberFormat="1" applyFill="1"/>
    <xf numFmtId="176" fontId="68" fillId="17" borderId="0" xfId="0" applyNumberFormat="1" applyFont="1" applyFill="1" applyBorder="1"/>
    <xf numFmtId="0" fontId="68" fillId="17" borderId="0" xfId="0" applyFont="1" applyFill="1" applyBorder="1"/>
    <xf numFmtId="176" fontId="68" fillId="17" borderId="0" xfId="0" applyNumberFormat="1" applyFont="1" applyFill="1"/>
    <xf numFmtId="175" fontId="1" fillId="17" borderId="0" xfId="49" applyNumberFormat="1" applyFont="1" applyFill="1" applyAlignment="1">
      <alignment horizontal="right"/>
    </xf>
    <xf numFmtId="176" fontId="26" fillId="17" borderId="0" xfId="0" applyNumberFormat="1" applyFont="1" applyFill="1"/>
    <xf numFmtId="2" fontId="23" fillId="17" borderId="6" xfId="0" applyNumberFormat="1" applyFont="1" applyFill="1" applyBorder="1" applyAlignment="1" applyProtection="1">
      <alignment horizontal="left" wrapText="1"/>
      <protection hidden="1"/>
    </xf>
    <xf numFmtId="0" fontId="31" fillId="17" borderId="9" xfId="0" applyFont="1" applyFill="1" applyBorder="1" applyAlignment="1" applyProtection="1">
      <alignment wrapText="1"/>
      <protection hidden="1"/>
    </xf>
    <xf numFmtId="0" fontId="26" fillId="17" borderId="9" xfId="0" applyFont="1" applyFill="1" applyBorder="1" applyAlignment="1" applyProtection="1">
      <alignment wrapText="1"/>
      <protection hidden="1"/>
    </xf>
    <xf numFmtId="4" fontId="26" fillId="17" borderId="6" xfId="0" applyNumberFormat="1" applyFont="1" applyFill="1" applyBorder="1" applyAlignment="1" applyProtection="1">
      <alignment horizontal="center" vertical="center"/>
      <protection hidden="1"/>
    </xf>
    <xf numFmtId="2" fontId="47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/>
    </xf>
    <xf numFmtId="0" fontId="4" fillId="0" borderId="26" xfId="0" applyFont="1" applyFill="1" applyBorder="1"/>
    <xf numFmtId="179" fontId="47" fillId="0" borderId="6" xfId="0" applyNumberFormat="1" applyFont="1" applyFill="1" applyBorder="1" applyAlignment="1">
      <alignment horizontal="right"/>
    </xf>
    <xf numFmtId="1" fontId="47" fillId="0" borderId="6" xfId="0" applyNumberFormat="1" applyFont="1" applyFill="1" applyBorder="1" applyAlignment="1">
      <alignment horizontal="right"/>
    </xf>
    <xf numFmtId="166" fontId="47" fillId="0" borderId="6" xfId="0" applyNumberFormat="1" applyFont="1" applyFill="1" applyBorder="1" applyAlignment="1">
      <alignment horizontal="right"/>
    </xf>
    <xf numFmtId="1" fontId="47" fillId="0" borderId="6" xfId="0" applyNumberFormat="1" applyFont="1" applyBorder="1"/>
    <xf numFmtId="0" fontId="47" fillId="0" borderId="6" xfId="0" applyFont="1" applyFill="1" applyBorder="1"/>
    <xf numFmtId="165" fontId="50" fillId="0" borderId="6" xfId="0" applyNumberFormat="1" applyFont="1" applyFill="1" applyBorder="1" applyAlignment="1">
      <alignment horizontal="right"/>
    </xf>
    <xf numFmtId="0" fontId="47" fillId="0" borderId="6" xfId="0" applyFont="1" applyFill="1" applyBorder="1" applyAlignment="1">
      <alignment wrapText="1"/>
    </xf>
    <xf numFmtId="0" fontId="47" fillId="0" borderId="6" xfId="0" applyFont="1" applyFill="1" applyBorder="1" applyAlignment="1">
      <alignment horizontal="center" vertical="center" wrapText="1"/>
    </xf>
    <xf numFmtId="179" fontId="47" fillId="0" borderId="6" xfId="0" applyNumberFormat="1" applyFont="1" applyFill="1" applyBorder="1" applyAlignment="1">
      <alignment horizontal="center" vertical="center" wrapText="1"/>
    </xf>
    <xf numFmtId="0" fontId="50" fillId="0" borderId="6" xfId="0" applyFont="1" applyFill="1" applyBorder="1"/>
    <xf numFmtId="165" fontId="50" fillId="0" borderId="6" xfId="0" applyNumberFormat="1" applyFont="1" applyBorder="1"/>
    <xf numFmtId="2" fontId="57" fillId="0" borderId="6" xfId="0" applyNumberFormat="1" applyFont="1" applyFill="1" applyBorder="1" applyAlignment="1">
      <alignment horizontal="left" vertical="top" wrapText="1"/>
    </xf>
    <xf numFmtId="2" fontId="25" fillId="0" borderId="6" xfId="0" applyNumberFormat="1" applyFont="1" applyFill="1" applyBorder="1" applyAlignment="1">
      <alignment horizontal="left" indent="1"/>
    </xf>
    <xf numFmtId="167" fontId="25" fillId="0" borderId="0" xfId="0" applyNumberFormat="1" applyFont="1" applyFill="1" applyBorder="1" applyAlignment="1">
      <alignment horizontal="right"/>
    </xf>
    <xf numFmtId="0" fontId="26" fillId="16" borderId="6" xfId="0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center" wrapText="1"/>
      <protection hidden="1"/>
    </xf>
    <xf numFmtId="0" fontId="29" fillId="17" borderId="0" xfId="0" applyFont="1" applyFill="1"/>
    <xf numFmtId="167" fontId="29" fillId="17" borderId="6" xfId="0" applyNumberFormat="1" applyFont="1" applyFill="1" applyBorder="1" applyAlignment="1" applyProtection="1">
      <alignment horizontal="right"/>
      <protection hidden="1"/>
    </xf>
    <xf numFmtId="167" fontId="26" fillId="17" borderId="6" xfId="0" applyNumberFormat="1" applyFont="1" applyFill="1" applyBorder="1" applyAlignment="1" applyProtection="1">
      <alignment horizontal="right"/>
      <protection hidden="1"/>
    </xf>
    <xf numFmtId="167" fontId="26" fillId="17" borderId="6" xfId="0" applyNumberFormat="1" applyFont="1" applyFill="1" applyBorder="1"/>
    <xf numFmtId="2" fontId="29" fillId="17" borderId="6" xfId="0" applyNumberFormat="1" applyFont="1" applyFill="1" applyBorder="1" applyAlignment="1" applyProtection="1">
      <alignment horizontal="right"/>
      <protection hidden="1"/>
    </xf>
    <xf numFmtId="2" fontId="26" fillId="17" borderId="6" xfId="0" applyNumberFormat="1" applyFont="1" applyFill="1" applyBorder="1" applyAlignment="1" applyProtection="1">
      <alignment horizontal="right"/>
      <protection hidden="1"/>
    </xf>
    <xf numFmtId="2" fontId="9" fillId="17" borderId="6" xfId="0" applyNumberFormat="1" applyFont="1" applyFill="1" applyBorder="1" applyAlignment="1" applyProtection="1">
      <alignment horizontal="left" wrapText="1"/>
      <protection hidden="1"/>
    </xf>
    <xf numFmtId="2" fontId="9" fillId="17" borderId="6" xfId="0" applyNumberFormat="1" applyFont="1" applyFill="1" applyBorder="1" applyAlignment="1" applyProtection="1">
      <alignment horizontal="left"/>
      <protection hidden="1"/>
    </xf>
    <xf numFmtId="2" fontId="9" fillId="0" borderId="8" xfId="0" applyNumberFormat="1" applyFont="1" applyFill="1" applyBorder="1" applyAlignment="1" applyProtection="1">
      <alignment horizontal="left" wrapText="1"/>
      <protection hidden="1"/>
    </xf>
    <xf numFmtId="166" fontId="57" fillId="0" borderId="46" xfId="0" applyNumberFormat="1" applyFont="1" applyFill="1" applyBorder="1" applyAlignment="1"/>
    <xf numFmtId="166" fontId="25" fillId="0" borderId="46" xfId="0" applyNumberFormat="1" applyFont="1" applyFill="1" applyBorder="1" applyAlignment="1"/>
    <xf numFmtId="166" fontId="25" fillId="0" borderId="6" xfId="0" applyNumberFormat="1" applyFont="1" applyFill="1" applyBorder="1" applyAlignment="1">
      <alignment horizontal="right"/>
    </xf>
    <xf numFmtId="166" fontId="0" fillId="0" borderId="6" xfId="0" applyNumberFormat="1" applyBorder="1" applyProtection="1">
      <protection hidden="1"/>
    </xf>
    <xf numFmtId="166" fontId="0" fillId="0" borderId="6" xfId="0" applyNumberFormat="1" applyBorder="1"/>
    <xf numFmtId="2" fontId="57" fillId="0" borderId="6" xfId="0" applyNumberFormat="1" applyFont="1" applyFill="1" applyBorder="1" applyAlignment="1">
      <alignment horizontal="left" indent="1"/>
    </xf>
    <xf numFmtId="2" fontId="57" fillId="0" borderId="6" xfId="0" applyNumberFormat="1" applyFont="1" applyFill="1" applyBorder="1" applyAlignment="1">
      <alignment horizontal="left" wrapText="1" indent="1"/>
    </xf>
    <xf numFmtId="167" fontId="139" fillId="0" borderId="0" xfId="0" applyNumberFormat="1" applyFont="1" applyFill="1" applyBorder="1" applyAlignment="1">
      <alignment horizontal="right"/>
    </xf>
    <xf numFmtId="0" fontId="9" fillId="0" borderId="6" xfId="0" applyFont="1" applyFill="1" applyBorder="1" applyAlignment="1" applyProtection="1">
      <alignment horizontal="left"/>
      <protection hidden="1"/>
    </xf>
    <xf numFmtId="166" fontId="9" fillId="0" borderId="6" xfId="0" applyNumberFormat="1" applyFont="1" applyFill="1" applyBorder="1" applyAlignment="1" applyProtection="1">
      <alignment horizontal="center" wrapText="1"/>
      <protection hidden="1"/>
    </xf>
    <xf numFmtId="0" fontId="29" fillId="0" borderId="6" xfId="0" applyFont="1" applyFill="1" applyBorder="1" applyAlignment="1" applyProtection="1">
      <protection hidden="1"/>
    </xf>
    <xf numFmtId="0" fontId="128" fillId="0" borderId="6" xfId="0" applyFont="1" applyFill="1" applyBorder="1" applyAlignment="1" applyProtection="1">
      <protection hidden="1"/>
    </xf>
    <xf numFmtId="0" fontId="26" fillId="0" borderId="6" xfId="0" applyFont="1" applyBorder="1" applyAlignment="1" applyProtection="1">
      <alignment wrapText="1"/>
      <protection hidden="1"/>
    </xf>
    <xf numFmtId="166" fontId="26" fillId="17" borderId="6" xfId="0" applyNumberFormat="1" applyFont="1" applyFill="1" applyBorder="1" applyAlignment="1" applyProtection="1">
      <alignment horizontal="center" wrapText="1"/>
      <protection hidden="1"/>
    </xf>
    <xf numFmtId="166" fontId="26" fillId="0" borderId="6" xfId="0" applyNumberFormat="1" applyFont="1" applyFill="1" applyBorder="1" applyAlignment="1" applyProtection="1">
      <alignment horizontal="center" wrapText="1"/>
      <protection hidden="1"/>
    </xf>
    <xf numFmtId="0" fontId="26" fillId="0" borderId="6" xfId="0" applyFont="1" applyFill="1" applyBorder="1" applyAlignment="1" applyProtection="1">
      <alignment horizontal="left" vertical="center"/>
      <protection hidden="1"/>
    </xf>
    <xf numFmtId="0" fontId="26" fillId="0" borderId="6" xfId="0" applyFont="1" applyFill="1" applyBorder="1" applyAlignment="1" applyProtection="1">
      <alignment wrapText="1"/>
      <protection hidden="1"/>
    </xf>
    <xf numFmtId="0" fontId="26" fillId="0" borderId="6" xfId="0" applyFont="1" applyFill="1" applyBorder="1" applyAlignment="1" applyProtection="1">
      <alignment vertical="justify" wrapText="1"/>
      <protection hidden="1"/>
    </xf>
    <xf numFmtId="0" fontId="30" fillId="17" borderId="6" xfId="0" applyFont="1" applyFill="1" applyBorder="1" applyAlignment="1" applyProtection="1">
      <alignment horizontal="left" wrapText="1"/>
      <protection hidden="1"/>
    </xf>
    <xf numFmtId="0" fontId="10" fillId="0" borderId="6" xfId="0" applyFont="1" applyFill="1" applyBorder="1" applyAlignment="1" applyProtection="1">
      <alignment vertical="justify"/>
      <protection hidden="1"/>
    </xf>
    <xf numFmtId="0" fontId="0" fillId="0" borderId="0" xfId="0" applyAlignment="1">
      <alignment horizontal="center" vertical="top"/>
    </xf>
    <xf numFmtId="4" fontId="136" fillId="17" borderId="6" xfId="39" applyNumberFormat="1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/>
    </xf>
    <xf numFmtId="165" fontId="14" fillId="0" borderId="6" xfId="0" applyNumberFormat="1" applyFont="1" applyFill="1" applyBorder="1" applyAlignment="1">
      <alignment horizontal="center"/>
    </xf>
    <xf numFmtId="2" fontId="26" fillId="18" borderId="6" xfId="0" applyNumberFormat="1" applyFont="1" applyFill="1" applyBorder="1" applyAlignment="1">
      <alignment horizontal="center" vertical="center"/>
    </xf>
    <xf numFmtId="0" fontId="8" fillId="18" borderId="6" xfId="0" applyFont="1" applyFill="1" applyBorder="1" applyAlignment="1" applyProtection="1">
      <alignment horizontal="left" indent="1"/>
      <protection hidden="1"/>
    </xf>
    <xf numFmtId="0" fontId="8" fillId="18" borderId="6" xfId="0" applyFont="1" applyFill="1" applyBorder="1" applyProtection="1">
      <protection hidden="1"/>
    </xf>
    <xf numFmtId="2" fontId="8" fillId="18" borderId="6" xfId="0" applyNumberFormat="1" applyFont="1" applyFill="1" applyBorder="1" applyProtection="1">
      <protection hidden="1"/>
    </xf>
    <xf numFmtId="166" fontId="28" fillId="0" borderId="6" xfId="0" applyNumberFormat="1" applyFont="1" applyBorder="1"/>
    <xf numFmtId="177" fontId="23" fillId="18" borderId="6" xfId="0" applyNumberFormat="1" applyFont="1" applyFill="1" applyBorder="1" applyAlignment="1">
      <alignment horizontal="center" wrapText="1"/>
    </xf>
    <xf numFmtId="0" fontId="26" fillId="17" borderId="6" xfId="0" applyFont="1" applyFill="1" applyBorder="1" applyAlignment="1" applyProtection="1">
      <alignment wrapText="1"/>
      <protection hidden="1"/>
    </xf>
    <xf numFmtId="177" fontId="23" fillId="17" borderId="6" xfId="0" applyNumberFormat="1" applyFont="1" applyFill="1" applyBorder="1" applyAlignment="1">
      <alignment horizontal="center" vertical="center" wrapText="1"/>
    </xf>
    <xf numFmtId="10" fontId="71" fillId="17" borderId="0" xfId="49" applyNumberFormat="1" applyFont="1" applyFill="1"/>
    <xf numFmtId="10" fontId="28" fillId="17" borderId="0" xfId="49" applyNumberFormat="1" applyFont="1" applyFill="1"/>
    <xf numFmtId="0" fontId="4" fillId="17" borderId="6" xfId="0" applyFont="1" applyFill="1" applyBorder="1" applyAlignment="1">
      <alignment wrapText="1"/>
    </xf>
    <xf numFmtId="0" fontId="0" fillId="17" borderId="6" xfId="0" applyFont="1" applyFill="1" applyBorder="1"/>
    <xf numFmtId="0" fontId="33" fillId="17" borderId="6" xfId="0" applyFont="1" applyFill="1" applyBorder="1" applyAlignment="1">
      <alignment horizontal="center" vertical="center" textRotation="90"/>
    </xf>
    <xf numFmtId="2" fontId="26" fillId="17" borderId="6" xfId="0" applyNumberFormat="1" applyFont="1" applyFill="1" applyBorder="1"/>
    <xf numFmtId="2" fontId="29" fillId="17" borderId="15" xfId="0" applyNumberFormat="1" applyFont="1" applyFill="1" applyBorder="1"/>
    <xf numFmtId="2" fontId="29" fillId="17" borderId="0" xfId="0" applyNumberFormat="1" applyFont="1" applyFill="1" applyBorder="1"/>
    <xf numFmtId="0" fontId="26" fillId="17" borderId="6" xfId="0" applyFont="1" applyFill="1" applyBorder="1"/>
    <xf numFmtId="2" fontId="29" fillId="17" borderId="6" xfId="0" applyNumberFormat="1" applyFont="1" applyFill="1" applyBorder="1"/>
    <xf numFmtId="1" fontId="26" fillId="17" borderId="6" xfId="0" applyNumberFormat="1" applyFont="1" applyFill="1" applyBorder="1"/>
    <xf numFmtId="0" fontId="26" fillId="17" borderId="26" xfId="0" applyFont="1" applyFill="1" applyBorder="1"/>
    <xf numFmtId="1" fontId="26" fillId="17" borderId="26" xfId="0" applyNumberFormat="1" applyFont="1" applyFill="1" applyBorder="1"/>
    <xf numFmtId="0" fontId="26" fillId="17" borderId="33" xfId="0" applyFont="1" applyFill="1" applyBorder="1"/>
    <xf numFmtId="2" fontId="29" fillId="17" borderId="33" xfId="0" applyNumberFormat="1" applyFont="1" applyFill="1" applyBorder="1"/>
    <xf numFmtId="2" fontId="26" fillId="17" borderId="33" xfId="0" applyNumberFormat="1" applyFont="1" applyFill="1" applyBorder="1"/>
    <xf numFmtId="2" fontId="105" fillId="17" borderId="6" xfId="0" applyNumberFormat="1" applyFont="1" applyFill="1" applyBorder="1"/>
    <xf numFmtId="2" fontId="26" fillId="17" borderId="26" xfId="0" applyNumberFormat="1" applyFont="1" applyFill="1" applyBorder="1"/>
    <xf numFmtId="2" fontId="122" fillId="17" borderId="33" xfId="0" applyNumberFormat="1" applyFont="1" applyFill="1" applyBorder="1"/>
    <xf numFmtId="0" fontId="29" fillId="17" borderId="33" xfId="0" applyFont="1" applyFill="1" applyBorder="1"/>
    <xf numFmtId="2" fontId="26" fillId="0" borderId="6" xfId="0" applyNumberFormat="1" applyFont="1" applyBorder="1" applyAlignment="1">
      <alignment horizontal="center"/>
    </xf>
    <xf numFmtId="166" fontId="26" fillId="0" borderId="6" xfId="0" applyNumberFormat="1" applyFont="1" applyBorder="1" applyAlignment="1">
      <alignment horizontal="center"/>
    </xf>
    <xf numFmtId="10" fontId="65" fillId="18" borderId="0" xfId="0" applyNumberFormat="1" applyFont="1" applyFill="1"/>
    <xf numFmtId="0" fontId="26" fillId="17" borderId="6" xfId="0" applyFont="1" applyFill="1" applyBorder="1" applyAlignment="1">
      <alignment horizontal="left" wrapText="1"/>
    </xf>
    <xf numFmtId="2" fontId="136" fillId="17" borderId="6" xfId="39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166" fontId="10" fillId="0" borderId="6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top"/>
    </xf>
    <xf numFmtId="2" fontId="10" fillId="17" borderId="0" xfId="0" applyNumberFormat="1" applyFont="1" applyFill="1" applyBorder="1" applyAlignment="1" applyProtection="1">
      <alignment horizontal="center"/>
      <protection hidden="1"/>
    </xf>
    <xf numFmtId="0" fontId="28" fillId="17" borderId="0" xfId="0" applyFont="1" applyFill="1" applyAlignment="1">
      <alignment vertical="center"/>
    </xf>
    <xf numFmtId="2" fontId="25" fillId="0" borderId="0" xfId="44" applyNumberFormat="1" applyFont="1" applyFill="1" applyAlignment="1">
      <alignment horizontal="center" vertical="center" wrapText="1"/>
    </xf>
    <xf numFmtId="0" fontId="65" fillId="0" borderId="6" xfId="39" applyFont="1" applyBorder="1" applyAlignment="1">
      <alignment horizontal="center" vertical="top" wrapText="1"/>
    </xf>
    <xf numFmtId="0" fontId="65" fillId="17" borderId="6" xfId="39" applyFont="1" applyFill="1" applyBorder="1" applyAlignment="1">
      <alignment horizontal="center" vertical="top" wrapText="1"/>
    </xf>
    <xf numFmtId="2" fontId="58" fillId="0" borderId="0" xfId="39" applyNumberFormat="1" applyFont="1" applyBorder="1" applyAlignment="1">
      <alignment horizontal="center"/>
    </xf>
    <xf numFmtId="0" fontId="25" fillId="0" borderId="0" xfId="44" applyFont="1" applyAlignment="1">
      <alignment horizontal="right" vertical="center"/>
    </xf>
    <xf numFmtId="0" fontId="57" fillId="0" borderId="0" xfId="39" applyFont="1" applyAlignment="1">
      <alignment horizontal="center"/>
    </xf>
    <xf numFmtId="0" fontId="57" fillId="0" borderId="0" xfId="39" applyFont="1" applyBorder="1" applyAlignment="1">
      <alignment horizontal="center"/>
    </xf>
    <xf numFmtId="0" fontId="65" fillId="16" borderId="6" xfId="39" applyFont="1" applyFill="1" applyBorder="1" applyAlignment="1">
      <alignment horizontal="center" vertical="center" wrapText="1"/>
    </xf>
    <xf numFmtId="0" fontId="108" fillId="17" borderId="0" xfId="0" applyFont="1" applyFill="1" applyAlignment="1">
      <alignment horizontal="center" vertical="center" wrapText="1"/>
    </xf>
    <xf numFmtId="0" fontId="136" fillId="16" borderId="6" xfId="39" applyFont="1" applyFill="1" applyBorder="1" applyAlignment="1">
      <alignment horizontal="center" vertical="center" wrapText="1"/>
    </xf>
    <xf numFmtId="0" fontId="25" fillId="0" borderId="0" xfId="43" applyFont="1" applyAlignment="1">
      <alignment horizontal="center"/>
    </xf>
    <xf numFmtId="0" fontId="1" fillId="17" borderId="6" xfId="39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9" fillId="0" borderId="0" xfId="0" applyFont="1" applyAlignment="1">
      <alignment horizontal="center" wrapText="1"/>
    </xf>
    <xf numFmtId="0" fontId="0" fillId="17" borderId="6" xfId="0" applyFont="1" applyFill="1" applyBorder="1" applyAlignment="1">
      <alignment horizontal="center" vertical="center" wrapText="1"/>
    </xf>
    <xf numFmtId="0" fontId="0" fillId="17" borderId="46" xfId="0" applyFont="1" applyFill="1" applyBorder="1" applyAlignment="1">
      <alignment horizontal="center" vertical="center"/>
    </xf>
    <xf numFmtId="0" fontId="0" fillId="17" borderId="49" xfId="0" applyFont="1" applyFill="1" applyBorder="1" applyAlignment="1">
      <alignment horizontal="center" vertical="center"/>
    </xf>
    <xf numFmtId="0" fontId="0" fillId="17" borderId="6" xfId="39" applyFont="1" applyFill="1" applyBorder="1" applyAlignment="1">
      <alignment horizontal="center" vertical="center" wrapText="1"/>
    </xf>
    <xf numFmtId="2" fontId="1" fillId="17" borderId="6" xfId="44" applyNumberFormat="1" applyFont="1" applyFill="1" applyBorder="1" applyAlignment="1">
      <alignment horizontal="center" vertical="center" wrapText="1"/>
    </xf>
    <xf numFmtId="2" fontId="65" fillId="16" borderId="6" xfId="44" applyNumberFormat="1" applyFont="1" applyFill="1" applyBorder="1" applyAlignment="1">
      <alignment horizontal="center" vertical="center" wrapText="1"/>
    </xf>
    <xf numFmtId="2" fontId="136" fillId="16" borderId="6" xfId="44" applyNumberFormat="1" applyFont="1" applyFill="1" applyBorder="1" applyAlignment="1">
      <alignment horizontal="center" vertical="center" wrapText="1"/>
    </xf>
    <xf numFmtId="2" fontId="61" fillId="0" borderId="0" xfId="39" applyNumberFormat="1" applyFont="1" applyAlignment="1">
      <alignment horizontal="center" vertical="center"/>
    </xf>
    <xf numFmtId="2" fontId="61" fillId="0" borderId="0" xfId="44" applyNumberFormat="1" applyFont="1" applyFill="1" applyAlignment="1">
      <alignment horizontal="center" vertical="center" wrapText="1"/>
    </xf>
    <xf numFmtId="0" fontId="57" fillId="0" borderId="0" xfId="39" applyFont="1" applyAlignment="1">
      <alignment horizontal="center" vertical="center"/>
    </xf>
    <xf numFmtId="0" fontId="57" fillId="0" borderId="0" xfId="39" applyFont="1" applyAlignment="1">
      <alignment horizontal="center" vertical="center" wrapText="1"/>
    </xf>
    <xf numFmtId="2" fontId="61" fillId="0" borderId="0" xfId="39" applyNumberFormat="1" applyFont="1" applyBorder="1" applyAlignment="1">
      <alignment horizontal="right" vertical="center"/>
    </xf>
    <xf numFmtId="0" fontId="131" fillId="0" borderId="0" xfId="44" applyFont="1" applyAlignment="1">
      <alignment horizontal="center" vertical="center"/>
    </xf>
    <xf numFmtId="0" fontId="57" fillId="0" borderId="0" xfId="44" applyFont="1" applyAlignment="1">
      <alignment horizontal="center"/>
    </xf>
    <xf numFmtId="0" fontId="57" fillId="0" borderId="0" xfId="44" applyFont="1" applyAlignment="1">
      <alignment horizontal="center" vertical="center"/>
    </xf>
    <xf numFmtId="0" fontId="136" fillId="16" borderId="6" xfId="44" applyFont="1" applyFill="1" applyBorder="1" applyAlignment="1">
      <alignment horizontal="center" vertical="center" wrapText="1"/>
    </xf>
    <xf numFmtId="2" fontId="25" fillId="0" borderId="0" xfId="44" applyNumberFormat="1" applyFont="1" applyAlignment="1">
      <alignment horizontal="center" vertical="center" wrapText="1"/>
    </xf>
    <xf numFmtId="0" fontId="9" fillId="16" borderId="5" xfId="0" applyFont="1" applyFill="1" applyBorder="1" applyAlignment="1" applyProtection="1">
      <alignment horizontal="center" vertical="center" wrapText="1"/>
      <protection hidden="1"/>
    </xf>
    <xf numFmtId="0" fontId="9" fillId="16" borderId="15" xfId="0" applyFont="1" applyFill="1" applyBorder="1" applyAlignment="1" applyProtection="1">
      <alignment horizontal="center" vertical="center" wrapText="1"/>
      <protection hidden="1"/>
    </xf>
    <xf numFmtId="0" fontId="9" fillId="16" borderId="70" xfId="0" applyFont="1" applyFill="1" applyBorder="1" applyAlignment="1" applyProtection="1">
      <alignment horizontal="center" vertical="center"/>
      <protection hidden="1"/>
    </xf>
    <xf numFmtId="0" fontId="9" fillId="16" borderId="71" xfId="0" applyFont="1" applyFill="1" applyBorder="1" applyAlignment="1" applyProtection="1">
      <alignment horizontal="center" vertical="center"/>
      <protection hidden="1"/>
    </xf>
    <xf numFmtId="0" fontId="9" fillId="16" borderId="72" xfId="0" applyFont="1" applyFill="1" applyBorder="1" applyAlignment="1" applyProtection="1">
      <alignment horizontal="center" vertical="center"/>
      <protection hidden="1"/>
    </xf>
    <xf numFmtId="0" fontId="9" fillId="16" borderId="5" xfId="0" applyFont="1" applyFill="1" applyBorder="1" applyAlignment="1" applyProtection="1">
      <alignment horizontal="center" vertical="center"/>
      <protection hidden="1"/>
    </xf>
    <xf numFmtId="0" fontId="9" fillId="16" borderId="14" xfId="0" applyFont="1" applyFill="1" applyBorder="1" applyAlignment="1" applyProtection="1">
      <alignment horizontal="center" vertical="center"/>
      <protection hidden="1"/>
    </xf>
    <xf numFmtId="0" fontId="9" fillId="16" borderId="14" xfId="0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10" fontId="26" fillId="0" borderId="0" xfId="49" applyNumberFormat="1" applyFont="1" applyFill="1" applyBorder="1" applyAlignment="1" applyProtection="1">
      <alignment horizontal="center" vertical="top" wrapText="1"/>
      <protection hidden="1"/>
    </xf>
    <xf numFmtId="0" fontId="9" fillId="16" borderId="36" xfId="0" applyFont="1" applyFill="1" applyBorder="1" applyAlignment="1" applyProtection="1">
      <alignment horizontal="center" vertical="center" wrapText="1"/>
      <protection hidden="1"/>
    </xf>
    <xf numFmtId="0" fontId="9" fillId="16" borderId="34" xfId="0" applyFont="1" applyFill="1" applyBorder="1" applyAlignment="1" applyProtection="1">
      <alignment horizontal="center" vertical="center" wrapText="1"/>
      <protection hidden="1"/>
    </xf>
    <xf numFmtId="0" fontId="9" fillId="16" borderId="35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wrapText="1"/>
      <protection hidden="1"/>
    </xf>
    <xf numFmtId="0" fontId="7" fillId="0" borderId="0" xfId="0" applyFont="1" applyBorder="1" applyAlignment="1" applyProtection="1">
      <alignment horizontal="center" wrapText="1"/>
      <protection hidden="1"/>
    </xf>
    <xf numFmtId="0" fontId="9" fillId="16" borderId="36" xfId="0" applyFont="1" applyFill="1" applyBorder="1" applyAlignment="1" applyProtection="1">
      <alignment horizontal="center" vertical="center"/>
      <protection hidden="1"/>
    </xf>
    <xf numFmtId="0" fontId="9" fillId="16" borderId="34" xfId="0" applyFont="1" applyFill="1" applyBorder="1" applyAlignment="1" applyProtection="1">
      <alignment horizontal="center" vertical="center"/>
      <protection hidden="1"/>
    </xf>
    <xf numFmtId="0" fontId="9" fillId="16" borderId="35" xfId="0" applyFont="1" applyFill="1" applyBorder="1" applyAlignment="1" applyProtection="1">
      <alignment horizontal="center" vertical="center"/>
      <protection hidden="1"/>
    </xf>
    <xf numFmtId="0" fontId="9" fillId="16" borderId="30" xfId="0" applyFont="1" applyFill="1" applyBorder="1" applyAlignment="1" applyProtection="1">
      <alignment horizontal="center" vertical="center"/>
      <protection hidden="1"/>
    </xf>
    <xf numFmtId="0" fontId="9" fillId="16" borderId="29" xfId="0" applyFont="1" applyFill="1" applyBorder="1" applyAlignment="1" applyProtection="1">
      <alignment horizontal="center" vertical="center"/>
      <protection hidden="1"/>
    </xf>
    <xf numFmtId="2" fontId="82" fillId="0" borderId="16" xfId="0" applyNumberFormat="1" applyFont="1" applyFill="1" applyBorder="1" applyAlignment="1">
      <alignment horizontal="right"/>
    </xf>
    <xf numFmtId="0" fontId="83" fillId="0" borderId="0" xfId="0" applyFont="1" applyFill="1" applyAlignment="1"/>
    <xf numFmtId="2" fontId="84" fillId="0" borderId="16" xfId="0" applyNumberFormat="1" applyFont="1" applyFill="1" applyBorder="1" applyAlignment="1">
      <alignment horizontal="right"/>
    </xf>
    <xf numFmtId="0" fontId="84" fillId="0" borderId="0" xfId="0" applyFont="1" applyAlignment="1"/>
    <xf numFmtId="176" fontId="26" fillId="17" borderId="0" xfId="0" applyNumberFormat="1" applyFont="1" applyFill="1" applyBorder="1" applyAlignment="1" applyProtection="1">
      <alignment horizontal="center" vertical="top"/>
      <protection hidden="1"/>
    </xf>
    <xf numFmtId="0" fontId="7" fillId="17" borderId="0" xfId="0" applyFont="1" applyFill="1" applyAlignment="1" applyProtection="1">
      <alignment horizontal="center" vertical="center" wrapText="1"/>
      <protection hidden="1"/>
    </xf>
    <xf numFmtId="4" fontId="28" fillId="17" borderId="0" xfId="0" applyNumberFormat="1" applyFont="1" applyFill="1" applyBorder="1" applyAlignment="1" applyProtection="1">
      <alignment horizontal="center"/>
      <protection hidden="1"/>
    </xf>
    <xf numFmtId="0" fontId="9" fillId="17" borderId="36" xfId="0" applyFont="1" applyFill="1" applyBorder="1" applyAlignment="1" applyProtection="1">
      <alignment horizontal="center" vertical="center"/>
      <protection hidden="1"/>
    </xf>
    <xf numFmtId="0" fontId="9" fillId="17" borderId="34" xfId="0" applyFont="1" applyFill="1" applyBorder="1" applyAlignment="1" applyProtection="1">
      <alignment horizontal="center" vertical="center"/>
      <protection hidden="1"/>
    </xf>
    <xf numFmtId="0" fontId="9" fillId="17" borderId="35" xfId="0" applyFont="1" applyFill="1" applyBorder="1" applyAlignment="1" applyProtection="1">
      <alignment horizontal="center" vertical="center"/>
      <protection hidden="1"/>
    </xf>
    <xf numFmtId="0" fontId="9" fillId="17" borderId="5" xfId="0" applyFont="1" applyFill="1" applyBorder="1" applyAlignment="1" applyProtection="1">
      <alignment horizontal="center" vertical="center" wrapText="1"/>
      <protection hidden="1"/>
    </xf>
    <xf numFmtId="0" fontId="9" fillId="17" borderId="14" xfId="0" applyFont="1" applyFill="1" applyBorder="1" applyAlignment="1" applyProtection="1">
      <alignment horizontal="center" vertical="center" wrapText="1"/>
      <protection hidden="1"/>
    </xf>
    <xf numFmtId="0" fontId="9" fillId="17" borderId="30" xfId="0" applyFont="1" applyFill="1" applyBorder="1" applyAlignment="1" applyProtection="1">
      <alignment horizontal="center" vertical="center" wrapText="1"/>
      <protection hidden="1"/>
    </xf>
    <xf numFmtId="0" fontId="9" fillId="17" borderId="28" xfId="0" applyFont="1" applyFill="1" applyBorder="1" applyAlignment="1" applyProtection="1">
      <alignment horizontal="center" vertical="center" wrapText="1"/>
      <protection hidden="1"/>
    </xf>
    <xf numFmtId="0" fontId="9" fillId="17" borderId="30" xfId="0" applyFont="1" applyFill="1" applyBorder="1" applyAlignment="1" applyProtection="1">
      <alignment horizontal="center" vertical="center"/>
      <protection hidden="1"/>
    </xf>
    <xf numFmtId="0" fontId="9" fillId="17" borderId="28" xfId="0" applyFont="1" applyFill="1" applyBorder="1" applyAlignment="1" applyProtection="1">
      <alignment horizontal="center" vertical="center"/>
      <protection hidden="1"/>
    </xf>
    <xf numFmtId="0" fontId="7" fillId="17" borderId="0" xfId="0" applyFont="1" applyFill="1" applyAlignment="1" applyProtection="1">
      <alignment horizontal="center" wrapText="1"/>
      <protection hidden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42" fillId="16" borderId="5" xfId="0" applyFont="1" applyFill="1" applyBorder="1" applyAlignment="1">
      <alignment horizontal="center" vertical="center"/>
    </xf>
    <xf numFmtId="0" fontId="42" fillId="16" borderId="14" xfId="0" applyFont="1" applyFill="1" applyBorder="1" applyAlignment="1">
      <alignment horizontal="center" vertical="center"/>
    </xf>
    <xf numFmtId="0" fontId="42" fillId="16" borderId="5" xfId="0" applyFont="1" applyFill="1" applyBorder="1" applyAlignment="1">
      <alignment horizontal="center" vertical="center" wrapText="1"/>
    </xf>
    <xf numFmtId="0" fontId="42" fillId="16" borderId="14" xfId="0" applyFont="1" applyFill="1" applyBorder="1" applyAlignment="1">
      <alignment horizontal="center" vertical="center" wrapText="1"/>
    </xf>
    <xf numFmtId="0" fontId="42" fillId="16" borderId="70" xfId="0" applyFont="1" applyFill="1" applyBorder="1" applyAlignment="1">
      <alignment horizontal="center" vertical="center"/>
    </xf>
    <xf numFmtId="0" fontId="42" fillId="16" borderId="71" xfId="0" applyFont="1" applyFill="1" applyBorder="1" applyAlignment="1">
      <alignment horizontal="center" vertical="center"/>
    </xf>
    <xf numFmtId="0" fontId="42" fillId="16" borderId="72" xfId="0" applyFont="1" applyFill="1" applyBorder="1" applyAlignment="1">
      <alignment horizontal="center" vertical="center"/>
    </xf>
    <xf numFmtId="0" fontId="91" fillId="0" borderId="50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2" fontId="28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justify"/>
    </xf>
    <xf numFmtId="0" fontId="7" fillId="0" borderId="0" xfId="0" applyFont="1" applyFill="1" applyBorder="1" applyAlignment="1">
      <alignment horizontal="center" wrapText="1"/>
    </xf>
    <xf numFmtId="0" fontId="60" fillId="0" borderId="0" xfId="0" applyFont="1" applyFill="1" applyAlignment="1">
      <alignment horizont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/>
    </xf>
    <xf numFmtId="0" fontId="2" fillId="16" borderId="26" xfId="0" applyFont="1" applyFill="1" applyBorder="1" applyAlignment="1">
      <alignment horizontal="center" vertical="center" wrapText="1"/>
    </xf>
    <xf numFmtId="0" fontId="2" fillId="16" borderId="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wrapText="1"/>
    </xf>
    <xf numFmtId="0" fontId="9" fillId="0" borderId="46" xfId="0" applyFont="1" applyFill="1" applyBorder="1" applyAlignment="1">
      <alignment horizontal="center" wrapText="1"/>
    </xf>
    <xf numFmtId="0" fontId="9" fillId="0" borderId="47" xfId="0" applyFont="1" applyFill="1" applyBorder="1" applyAlignment="1">
      <alignment horizontal="center" wrapText="1"/>
    </xf>
    <xf numFmtId="0" fontId="9" fillId="0" borderId="49" xfId="0" applyFont="1" applyFill="1" applyBorder="1" applyAlignment="1">
      <alignment horizontal="center" wrapText="1"/>
    </xf>
    <xf numFmtId="0" fontId="2" fillId="17" borderId="46" xfId="0" applyFont="1" applyFill="1" applyBorder="1" applyAlignment="1">
      <alignment horizontal="center" vertical="center" wrapText="1"/>
    </xf>
    <xf numFmtId="0" fontId="2" fillId="17" borderId="47" xfId="0" applyFont="1" applyFill="1" applyBorder="1" applyAlignment="1">
      <alignment horizontal="center" vertical="center" wrapText="1"/>
    </xf>
    <xf numFmtId="0" fontId="2" fillId="17" borderId="49" xfId="0" applyFont="1" applyFill="1" applyBorder="1" applyAlignment="1">
      <alignment horizontal="center" vertical="center" wrapText="1"/>
    </xf>
    <xf numFmtId="0" fontId="2" fillId="17" borderId="6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26" fillId="0" borderId="0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1" fillId="0" borderId="0" xfId="0" applyFont="1" applyFill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77" fillId="0" borderId="0" xfId="0" applyFont="1" applyFill="1" applyBorder="1" applyAlignment="1">
      <alignment horizontal="left" wrapText="1"/>
    </xf>
    <xf numFmtId="0" fontId="53" fillId="17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wrapText="1"/>
      <protection hidden="1"/>
    </xf>
    <xf numFmtId="0" fontId="9" fillId="16" borderId="6" xfId="0" applyFont="1" applyFill="1" applyBorder="1" applyAlignment="1" applyProtection="1">
      <alignment horizontal="center" vertical="center" wrapText="1"/>
      <protection hidden="1"/>
    </xf>
    <xf numFmtId="0" fontId="9" fillId="16" borderId="6" xfId="0" applyFont="1" applyFill="1" applyBorder="1" applyAlignment="1" applyProtection="1">
      <alignment horizontal="center" vertical="center"/>
      <protection hidden="1"/>
    </xf>
    <xf numFmtId="0" fontId="29" fillId="16" borderId="6" xfId="0" applyFont="1" applyFill="1" applyBorder="1" applyAlignment="1">
      <alignment horizontal="center" vertical="center" wrapText="1"/>
    </xf>
    <xf numFmtId="0" fontId="29" fillId="16" borderId="26" xfId="0" applyFont="1" applyFill="1" applyBorder="1" applyAlignment="1">
      <alignment horizontal="center" wrapText="1"/>
    </xf>
    <xf numFmtId="0" fontId="29" fillId="16" borderId="8" xfId="0" applyFont="1" applyFill="1" applyBorder="1" applyAlignment="1">
      <alignment horizontal="center" wrapText="1"/>
    </xf>
    <xf numFmtId="0" fontId="29" fillId="0" borderId="0" xfId="0" applyFont="1" applyAlignment="1" applyProtection="1">
      <alignment horizontal="center" vertical="center" wrapText="1"/>
      <protection hidden="1"/>
    </xf>
    <xf numFmtId="0" fontId="26" fillId="16" borderId="6" xfId="0" applyFont="1" applyFill="1" applyBorder="1" applyAlignment="1" applyProtection="1">
      <alignment horizontal="center" vertical="center"/>
      <protection hidden="1"/>
    </xf>
    <xf numFmtId="0" fontId="26" fillId="16" borderId="6" xfId="0" applyFont="1" applyFill="1" applyBorder="1" applyAlignment="1" applyProtection="1">
      <alignment horizontal="center" vertical="center" wrapText="1"/>
      <protection hidden="1"/>
    </xf>
    <xf numFmtId="0" fontId="26" fillId="16" borderId="26" xfId="0" applyFont="1" applyFill="1" applyBorder="1" applyAlignment="1" applyProtection="1">
      <alignment horizontal="center" vertical="center" wrapText="1"/>
      <protection hidden="1"/>
    </xf>
    <xf numFmtId="0" fontId="26" fillId="16" borderId="8" xfId="0" applyFont="1" applyFill="1" applyBorder="1" applyAlignment="1" applyProtection="1">
      <alignment horizontal="center" vertical="center" wrapText="1"/>
      <protection hidden="1"/>
    </xf>
    <xf numFmtId="0" fontId="26" fillId="16" borderId="6" xfId="0" applyFont="1" applyFill="1" applyBorder="1" applyAlignment="1">
      <alignment horizontal="center" vertical="center" wrapText="1"/>
    </xf>
    <xf numFmtId="0" fontId="28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50" xfId="0" applyFont="1" applyBorder="1" applyAlignment="1" applyProtection="1">
      <alignment horizontal="right"/>
      <protection hidden="1"/>
    </xf>
    <xf numFmtId="0" fontId="42" fillId="26" borderId="5" xfId="0" applyFont="1" applyFill="1" applyBorder="1" applyAlignment="1" applyProtection="1">
      <alignment horizontal="center" vertical="center" wrapText="1"/>
      <protection hidden="1"/>
    </xf>
    <xf numFmtId="0" fontId="42" fillId="26" borderId="14" xfId="0" applyFont="1" applyFill="1" applyBorder="1" applyAlignment="1" applyProtection="1">
      <alignment horizontal="center" vertical="center" wrapText="1"/>
      <protection hidden="1"/>
    </xf>
    <xf numFmtId="0" fontId="42" fillId="26" borderId="30" xfId="0" applyFont="1" applyFill="1" applyBorder="1" applyAlignment="1" applyProtection="1">
      <alignment horizontal="center" vertical="center" wrapText="1"/>
      <protection hidden="1"/>
    </xf>
    <xf numFmtId="0" fontId="42" fillId="26" borderId="28" xfId="0" applyFont="1" applyFill="1" applyBorder="1" applyAlignment="1" applyProtection="1">
      <alignment horizontal="center" vertical="center" wrapText="1"/>
      <protection hidden="1"/>
    </xf>
    <xf numFmtId="0" fontId="42" fillId="26" borderId="36" xfId="0" applyFont="1" applyFill="1" applyBorder="1" applyAlignment="1" applyProtection="1">
      <alignment horizontal="center"/>
      <protection hidden="1"/>
    </xf>
    <xf numFmtId="0" fontId="42" fillId="26" borderId="34" xfId="0" applyFont="1" applyFill="1" applyBorder="1" applyAlignment="1" applyProtection="1">
      <alignment horizontal="center"/>
      <protection hidden="1"/>
    </xf>
    <xf numFmtId="0" fontId="42" fillId="26" borderId="35" xfId="0" applyFont="1" applyFill="1" applyBorder="1" applyAlignment="1" applyProtection="1">
      <alignment horizontal="center"/>
      <protection hidden="1"/>
    </xf>
    <xf numFmtId="0" fontId="42" fillId="26" borderId="5" xfId="0" applyFont="1" applyFill="1" applyBorder="1" applyAlignment="1" applyProtection="1">
      <alignment horizontal="center" vertical="center"/>
      <protection hidden="1"/>
    </xf>
    <xf numFmtId="0" fontId="42" fillId="26" borderId="14" xfId="0" applyFont="1" applyFill="1" applyBorder="1" applyAlignment="1" applyProtection="1">
      <alignment horizontal="center" vertical="center"/>
      <protection hidden="1"/>
    </xf>
    <xf numFmtId="0" fontId="50" fillId="26" borderId="34" xfId="0" applyFont="1" applyFill="1" applyBorder="1" applyAlignment="1" applyProtection="1">
      <alignment horizontal="center"/>
      <protection hidden="1"/>
    </xf>
    <xf numFmtId="0" fontId="50" fillId="26" borderId="35" xfId="0" applyFont="1" applyFill="1" applyBorder="1" applyAlignment="1" applyProtection="1">
      <alignment horizontal="center"/>
      <protection hidden="1"/>
    </xf>
    <xf numFmtId="0" fontId="42" fillId="26" borderId="73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2" fillId="26" borderId="5" xfId="0" applyFont="1" applyFill="1" applyBorder="1" applyAlignment="1" applyProtection="1">
      <alignment horizontal="center" vertical="center" wrapText="1"/>
      <protection hidden="1"/>
    </xf>
    <xf numFmtId="0" fontId="2" fillId="26" borderId="14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justify"/>
      <protection hidden="1"/>
    </xf>
    <xf numFmtId="0" fontId="2" fillId="0" borderId="50" xfId="0" applyFont="1" applyBorder="1" applyAlignment="1" applyProtection="1">
      <alignment horizontal="right"/>
      <protection hidden="1"/>
    </xf>
    <xf numFmtId="0" fontId="2" fillId="26" borderId="5" xfId="0" applyFont="1" applyFill="1" applyBorder="1" applyAlignment="1" applyProtection="1">
      <alignment horizontal="center" vertical="center"/>
      <protection hidden="1"/>
    </xf>
    <xf numFmtId="0" fontId="2" fillId="26" borderId="14" xfId="0" applyFont="1" applyFill="1" applyBorder="1" applyAlignment="1" applyProtection="1">
      <alignment horizontal="center" vertical="center"/>
      <protection hidden="1"/>
    </xf>
    <xf numFmtId="0" fontId="2" fillId="26" borderId="30" xfId="0" applyFont="1" applyFill="1" applyBorder="1" applyAlignment="1" applyProtection="1">
      <alignment horizontal="center" vertical="center" wrapText="1"/>
      <protection hidden="1"/>
    </xf>
    <xf numFmtId="0" fontId="2" fillId="26" borderId="28" xfId="0" applyFont="1" applyFill="1" applyBorder="1" applyAlignment="1" applyProtection="1">
      <alignment horizontal="center" vertical="center" wrapText="1"/>
      <protection hidden="1"/>
    </xf>
    <xf numFmtId="0" fontId="2" fillId="26" borderId="36" xfId="0" applyFont="1" applyFill="1" applyBorder="1" applyAlignment="1" applyProtection="1">
      <alignment horizontal="center"/>
      <protection hidden="1"/>
    </xf>
    <xf numFmtId="0" fontId="2" fillId="26" borderId="34" xfId="0" applyFont="1" applyFill="1" applyBorder="1" applyAlignment="1" applyProtection="1">
      <alignment horizontal="center"/>
      <protection hidden="1"/>
    </xf>
    <xf numFmtId="0" fontId="2" fillId="26" borderId="35" xfId="0" applyFont="1" applyFill="1" applyBorder="1" applyAlignment="1" applyProtection="1">
      <alignment horizontal="center"/>
      <protection hidden="1"/>
    </xf>
    <xf numFmtId="0" fontId="2" fillId="26" borderId="73" xfId="0" applyFont="1" applyFill="1" applyBorder="1" applyAlignment="1" applyProtection="1">
      <alignment horizontal="center" vertical="center" wrapText="1"/>
      <protection hidden="1"/>
    </xf>
    <xf numFmtId="0" fontId="16" fillId="26" borderId="36" xfId="0" applyFont="1" applyFill="1" applyBorder="1" applyAlignment="1" applyProtection="1">
      <alignment horizontal="center"/>
      <protection hidden="1"/>
    </xf>
    <xf numFmtId="0" fontId="16" fillId="26" borderId="34" xfId="0" applyFont="1" applyFill="1" applyBorder="1" applyAlignment="1" applyProtection="1">
      <alignment horizontal="center"/>
      <protection hidden="1"/>
    </xf>
    <xf numFmtId="0" fontId="16" fillId="26" borderId="35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vertical="top"/>
      <protection hidden="1"/>
    </xf>
    <xf numFmtId="0" fontId="16" fillId="26" borderId="36" xfId="0" applyFont="1" applyFill="1" applyBorder="1" applyAlignment="1" applyProtection="1">
      <alignment horizontal="center" vertical="center" wrapText="1"/>
      <protection hidden="1"/>
    </xf>
    <xf numFmtId="0" fontId="16" fillId="26" borderId="35" xfId="0" applyFont="1" applyFill="1" applyBorder="1" applyAlignment="1" applyProtection="1">
      <alignment horizontal="center" vertical="center" wrapText="1"/>
      <protection hidden="1"/>
    </xf>
    <xf numFmtId="0" fontId="2" fillId="26" borderId="36" xfId="0" applyFont="1" applyFill="1" applyBorder="1" applyAlignment="1" applyProtection="1">
      <alignment horizontal="center" vertical="center"/>
      <protection hidden="1"/>
    </xf>
    <xf numFmtId="0" fontId="2" fillId="26" borderId="34" xfId="0" applyFont="1" applyFill="1" applyBorder="1" applyAlignment="1" applyProtection="1">
      <alignment horizontal="center" vertical="center"/>
      <protection hidden="1"/>
    </xf>
    <xf numFmtId="0" fontId="2" fillId="26" borderId="35" xfId="0" applyFont="1" applyFill="1" applyBorder="1" applyAlignment="1" applyProtection="1">
      <alignment horizontal="center" vertical="center"/>
      <protection hidden="1"/>
    </xf>
    <xf numFmtId="0" fontId="42" fillId="16" borderId="6" xfId="0" applyFont="1" applyFill="1" applyBorder="1" applyAlignment="1" applyProtection="1">
      <alignment horizontal="center" vertical="center" wrapText="1"/>
      <protection hidden="1"/>
    </xf>
    <xf numFmtId="0" fontId="47" fillId="0" borderId="0" xfId="0" applyFont="1" applyAlignment="1" applyProtection="1">
      <alignment horizontal="center" wrapText="1"/>
      <protection hidden="1"/>
    </xf>
    <xf numFmtId="0" fontId="42" fillId="16" borderId="6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top"/>
    </xf>
    <xf numFmtId="0" fontId="9" fillId="0" borderId="0" xfId="0" applyFont="1" applyFill="1" applyBorder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47" fillId="0" borderId="0" xfId="0" applyFont="1" applyAlignment="1" applyProtection="1">
      <alignment horizontal="center"/>
      <protection hidden="1"/>
    </xf>
    <xf numFmtId="0" fontId="60" fillId="0" borderId="0" xfId="0" applyFont="1" applyFill="1" applyBorder="1" applyAlignment="1" applyProtection="1">
      <alignment horizontal="center" wrapText="1"/>
      <protection hidden="1"/>
    </xf>
    <xf numFmtId="0" fontId="42" fillId="16" borderId="7" xfId="0" applyFont="1" applyFill="1" applyBorder="1" applyAlignment="1" applyProtection="1">
      <alignment horizontal="center" vertical="center" wrapText="1"/>
      <protection hidden="1"/>
    </xf>
    <xf numFmtId="0" fontId="42" fillId="16" borderId="74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wrapText="1"/>
      <protection hidden="1"/>
    </xf>
    <xf numFmtId="0" fontId="14" fillId="0" borderId="0" xfId="0" applyFont="1" applyAlignment="1" applyProtection="1">
      <alignment horizontal="center"/>
      <protection hidden="1"/>
    </xf>
    <xf numFmtId="0" fontId="50" fillId="16" borderId="6" xfId="0" applyFont="1" applyFill="1" applyBorder="1" applyAlignment="1" applyProtection="1">
      <alignment horizontal="center" vertical="center"/>
      <protection hidden="1"/>
    </xf>
    <xf numFmtId="0" fontId="2" fillId="16" borderId="6" xfId="0" applyFont="1" applyFill="1" applyBorder="1" applyAlignment="1" applyProtection="1">
      <alignment horizontal="center" vertical="center"/>
      <protection hidden="1"/>
    </xf>
    <xf numFmtId="0" fontId="2" fillId="16" borderId="6" xfId="0" applyFont="1" applyFill="1" applyBorder="1" applyAlignment="1" applyProtection="1">
      <alignment horizontal="center" vertical="center" wrapText="1"/>
      <protection hidden="1"/>
    </xf>
    <xf numFmtId="0" fontId="50" fillId="16" borderId="6" xfId="0" applyFont="1" applyFill="1" applyBorder="1" applyAlignment="1" applyProtection="1">
      <alignment horizontal="center" vertical="center" wrapText="1"/>
      <protection hidden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textRotation="90" wrapText="1"/>
    </xf>
    <xf numFmtId="0" fontId="28" fillId="17" borderId="0" xfId="0" applyFont="1" applyFill="1" applyAlignment="1">
      <alignment horizontal="center" vertical="center"/>
    </xf>
    <xf numFmtId="0" fontId="0" fillId="0" borderId="42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109" fillId="17" borderId="7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17" borderId="26" xfId="0" applyFill="1" applyBorder="1" applyAlignment="1">
      <alignment horizontal="center" vertical="center" textRotation="90" wrapText="1"/>
    </xf>
    <xf numFmtId="0" fontId="0" fillId="17" borderId="42" xfId="0" applyFill="1" applyBorder="1" applyAlignment="1">
      <alignment horizontal="center" vertical="center" textRotation="90" wrapText="1"/>
    </xf>
    <xf numFmtId="0" fontId="0" fillId="17" borderId="8" xfId="0" applyFill="1" applyBorder="1" applyAlignment="1">
      <alignment horizontal="center" vertical="center" textRotation="90" wrapText="1"/>
    </xf>
    <xf numFmtId="0" fontId="112" fillId="17" borderId="46" xfId="40" applyFont="1" applyFill="1" applyBorder="1" applyAlignment="1">
      <alignment horizontal="center" vertical="center" wrapText="1"/>
    </xf>
    <xf numFmtId="0" fontId="112" fillId="17" borderId="49" xfId="40" applyFont="1" applyFill="1" applyBorder="1" applyAlignment="1">
      <alignment horizontal="center" vertical="center" wrapText="1"/>
    </xf>
    <xf numFmtId="0" fontId="28" fillId="0" borderId="0" xfId="40" applyFont="1" applyBorder="1" applyAlignment="1">
      <alignment horizontal="center" vertical="center"/>
    </xf>
    <xf numFmtId="0" fontId="28" fillId="0" borderId="0" xfId="40" applyFont="1" applyAlignment="1">
      <alignment horizontal="center" vertical="center"/>
    </xf>
    <xf numFmtId="0" fontId="0" fillId="0" borderId="46" xfId="40" applyFont="1" applyBorder="1" applyAlignment="1">
      <alignment horizontal="center" vertical="center" wrapText="1"/>
    </xf>
    <xf numFmtId="0" fontId="1" fillId="0" borderId="47" xfId="40" applyFont="1" applyBorder="1" applyAlignment="1">
      <alignment horizontal="center" vertical="center" wrapText="1"/>
    </xf>
    <xf numFmtId="0" fontId="111" fillId="17" borderId="6" xfId="40" applyFont="1" applyFill="1" applyBorder="1" applyAlignment="1">
      <alignment horizontal="center" vertical="center" textRotation="90" wrapText="1"/>
    </xf>
    <xf numFmtId="0" fontId="1" fillId="17" borderId="26" xfId="40" applyFill="1" applyBorder="1" applyAlignment="1">
      <alignment horizontal="center" vertical="center" wrapText="1"/>
    </xf>
    <xf numFmtId="0" fontId="1" fillId="17" borderId="42" xfId="40" applyFill="1" applyBorder="1" applyAlignment="1">
      <alignment horizontal="center" vertical="center" wrapText="1"/>
    </xf>
    <xf numFmtId="0" fontId="1" fillId="17" borderId="8" xfId="40" applyFill="1" applyBorder="1" applyAlignment="1">
      <alignment horizontal="center" vertical="center" wrapText="1"/>
    </xf>
    <xf numFmtId="0" fontId="1" fillId="0" borderId="46" xfId="40" applyBorder="1" applyAlignment="1">
      <alignment horizontal="center" vertical="center" wrapText="1"/>
    </xf>
    <xf numFmtId="0" fontId="1" fillId="0" borderId="47" xfId="40" applyBorder="1" applyAlignment="1">
      <alignment horizontal="center" vertical="center" wrapText="1"/>
    </xf>
    <xf numFmtId="0" fontId="1" fillId="0" borderId="6" xfId="40" applyBorder="1" applyAlignment="1">
      <alignment horizontal="center" vertical="center" wrapText="1"/>
    </xf>
    <xf numFmtId="0" fontId="1" fillId="17" borderId="26" xfId="40" applyFill="1" applyBorder="1" applyAlignment="1">
      <alignment horizontal="center" vertical="center" textRotation="90" wrapText="1"/>
    </xf>
    <xf numFmtId="0" fontId="1" fillId="17" borderId="42" xfId="40" applyFill="1" applyBorder="1" applyAlignment="1">
      <alignment horizontal="center" vertical="center" textRotation="90" wrapText="1"/>
    </xf>
    <xf numFmtId="0" fontId="1" fillId="17" borderId="8" xfId="40" applyFill="1" applyBorder="1" applyAlignment="1">
      <alignment horizontal="center" vertical="center" textRotation="90" wrapText="1"/>
    </xf>
    <xf numFmtId="0" fontId="0" fillId="17" borderId="55" xfId="40" applyFont="1" applyFill="1" applyBorder="1" applyAlignment="1">
      <alignment horizontal="center" vertical="center" wrapText="1"/>
    </xf>
    <xf numFmtId="0" fontId="0" fillId="17" borderId="48" xfId="40" applyFont="1" applyFill="1" applyBorder="1" applyAlignment="1">
      <alignment horizontal="center" vertical="center" wrapText="1"/>
    </xf>
    <xf numFmtId="0" fontId="0" fillId="17" borderId="76" xfId="40" applyFont="1" applyFill="1" applyBorder="1" applyAlignment="1">
      <alignment horizontal="center" vertical="center" wrapText="1"/>
    </xf>
    <xf numFmtId="0" fontId="0" fillId="17" borderId="77" xfId="40" applyFont="1" applyFill="1" applyBorder="1" applyAlignment="1">
      <alignment horizontal="center" vertical="center" wrapText="1"/>
    </xf>
    <xf numFmtId="0" fontId="0" fillId="17" borderId="75" xfId="40" applyFont="1" applyFill="1" applyBorder="1" applyAlignment="1">
      <alignment horizontal="center" vertical="center" wrapText="1"/>
    </xf>
    <xf numFmtId="0" fontId="0" fillId="17" borderId="78" xfId="40" applyFont="1" applyFill="1" applyBorder="1" applyAlignment="1">
      <alignment horizontal="center" vertical="center" wrapText="1"/>
    </xf>
    <xf numFmtId="0" fontId="0" fillId="0" borderId="55" xfId="40" applyFont="1" applyBorder="1" applyAlignment="1">
      <alignment horizontal="center" vertical="center" wrapText="1"/>
    </xf>
    <xf numFmtId="0" fontId="0" fillId="0" borderId="76" xfId="0" applyBorder="1"/>
    <xf numFmtId="0" fontId="0" fillId="0" borderId="16" xfId="0" applyBorder="1"/>
    <xf numFmtId="0" fontId="0" fillId="0" borderId="17" xfId="0" applyBorder="1"/>
    <xf numFmtId="0" fontId="0" fillId="0" borderId="77" xfId="0" applyBorder="1"/>
    <xf numFmtId="0" fontId="0" fillId="0" borderId="78" xfId="0" applyBorder="1"/>
    <xf numFmtId="0" fontId="26" fillId="0" borderId="0" xfId="40" applyFont="1" applyAlignment="1">
      <alignment horizontal="center" vertical="top"/>
    </xf>
    <xf numFmtId="0" fontId="124" fillId="17" borderId="75" xfId="40" applyFont="1" applyFill="1" applyBorder="1" applyAlignment="1">
      <alignment horizontal="center" vertical="center" wrapText="1"/>
    </xf>
    <xf numFmtId="0" fontId="1" fillId="0" borderId="26" xfId="40" applyBorder="1" applyAlignment="1">
      <alignment horizontal="center" vertical="center" wrapText="1"/>
    </xf>
    <xf numFmtId="0" fontId="0" fillId="0" borderId="42" xfId="0" applyBorder="1"/>
    <xf numFmtId="0" fontId="0" fillId="0" borderId="8" xfId="0" applyBorder="1"/>
    <xf numFmtId="0" fontId="111" fillId="0" borderId="26" xfId="40" applyFont="1" applyBorder="1" applyAlignment="1">
      <alignment horizontal="center" vertical="center" textRotation="90" wrapText="1"/>
    </xf>
    <xf numFmtId="0" fontId="118" fillId="0" borderId="6" xfId="0" applyFont="1" applyBorder="1" applyAlignment="1">
      <alignment horizontal="center" vertical="center"/>
    </xf>
    <xf numFmtId="0" fontId="125" fillId="0" borderId="36" xfId="0" applyFont="1" applyBorder="1" applyAlignment="1">
      <alignment horizontal="left"/>
    </xf>
    <xf numFmtId="0" fontId="125" fillId="0" borderId="35" xfId="0" applyFont="1" applyBorder="1" applyAlignment="1">
      <alignment horizontal="left"/>
    </xf>
    <xf numFmtId="0" fontId="36" fillId="0" borderId="46" xfId="0" applyFont="1" applyBorder="1" applyAlignment="1">
      <alignment horizontal="center"/>
    </xf>
    <xf numFmtId="0" fontId="36" fillId="0" borderId="47" xfId="0" applyFont="1" applyBorder="1" applyAlignment="1">
      <alignment horizontal="center"/>
    </xf>
    <xf numFmtId="0" fontId="116" fillId="0" borderId="79" xfId="0" applyFont="1" applyBorder="1" applyAlignment="1">
      <alignment horizontal="left" wrapText="1"/>
    </xf>
    <xf numFmtId="0" fontId="26" fillId="0" borderId="80" xfId="0" applyFont="1" applyBorder="1" applyAlignment="1">
      <alignment horizontal="left" wrapText="1"/>
    </xf>
    <xf numFmtId="0" fontId="116" fillId="0" borderId="46" xfId="0" applyFont="1" applyBorder="1" applyAlignment="1">
      <alignment horizontal="left" wrapText="1"/>
    </xf>
    <xf numFmtId="0" fontId="116" fillId="0" borderId="49" xfId="0" applyFont="1" applyBorder="1" applyAlignment="1">
      <alignment horizontal="left" wrapText="1"/>
    </xf>
    <xf numFmtId="0" fontId="26" fillId="0" borderId="49" xfId="0" applyFont="1" applyBorder="1" applyAlignment="1">
      <alignment horizontal="left" wrapText="1"/>
    </xf>
    <xf numFmtId="0" fontId="118" fillId="17" borderId="46" xfId="0" applyFont="1" applyFill="1" applyBorder="1" applyAlignment="1">
      <alignment horizontal="center" vertical="center"/>
    </xf>
    <xf numFmtId="0" fontId="118" fillId="17" borderId="47" xfId="0" applyFont="1" applyFill="1" applyBorder="1" applyAlignment="1">
      <alignment horizontal="center" vertical="center"/>
    </xf>
    <xf numFmtId="0" fontId="118" fillId="17" borderId="49" xfId="0" applyFont="1" applyFill="1" applyBorder="1" applyAlignment="1">
      <alignment horizontal="center" vertical="center"/>
    </xf>
    <xf numFmtId="0" fontId="36" fillId="0" borderId="49" xfId="0" applyFont="1" applyBorder="1" applyAlignment="1">
      <alignment horizontal="center"/>
    </xf>
    <xf numFmtId="0" fontId="118" fillId="0" borderId="76" xfId="0" applyFont="1" applyBorder="1" applyAlignment="1">
      <alignment horizontal="center" vertical="center" wrapText="1"/>
    </xf>
    <xf numFmtId="0" fontId="118" fillId="0" borderId="17" xfId="0" applyFont="1" applyBorder="1" applyAlignment="1">
      <alignment horizontal="center" vertical="center" wrapText="1"/>
    </xf>
    <xf numFmtId="0" fontId="118" fillId="0" borderId="81" xfId="0" applyFont="1" applyBorder="1" applyAlignment="1">
      <alignment horizontal="center" vertical="center" wrapText="1"/>
    </xf>
    <xf numFmtId="0" fontId="118" fillId="0" borderId="46" xfId="0" applyFont="1" applyBorder="1" applyAlignment="1">
      <alignment horizontal="center" vertical="center"/>
    </xf>
    <xf numFmtId="0" fontId="118" fillId="0" borderId="47" xfId="0" applyFont="1" applyBorder="1" applyAlignment="1">
      <alignment horizontal="center" vertical="center"/>
    </xf>
    <xf numFmtId="0" fontId="118" fillId="0" borderId="49" xfId="0" applyFont="1" applyBorder="1" applyAlignment="1">
      <alignment horizontal="center" vertical="center"/>
    </xf>
    <xf numFmtId="0" fontId="36" fillId="17" borderId="75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Border="1" applyAlignment="1">
      <alignment horizontal="center" vertical="center" wrapText="1"/>
    </xf>
    <xf numFmtId="0" fontId="36" fillId="0" borderId="76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77" xfId="0" applyFont="1" applyBorder="1" applyAlignment="1">
      <alignment horizontal="center" vertical="center" wrapText="1"/>
    </xf>
    <xf numFmtId="0" fontId="36" fillId="0" borderId="78" xfId="0" applyFont="1" applyBorder="1" applyAlignment="1">
      <alignment horizontal="center" vertical="center" wrapText="1"/>
    </xf>
    <xf numFmtId="0" fontId="36" fillId="0" borderId="55" xfId="0" applyFont="1" applyBorder="1" applyAlignment="1">
      <alignment horizontal="center"/>
    </xf>
    <xf numFmtId="0" fontId="36" fillId="0" borderId="48" xfId="0" applyFont="1" applyBorder="1" applyAlignment="1">
      <alignment horizontal="center"/>
    </xf>
    <xf numFmtId="0" fontId="36" fillId="0" borderId="76" xfId="0" applyFont="1" applyBorder="1" applyAlignment="1">
      <alignment horizontal="center"/>
    </xf>
    <xf numFmtId="0" fontId="114" fillId="0" borderId="0" xfId="0" applyFont="1" applyAlignment="1">
      <alignment horizontal="center" vertical="center"/>
    </xf>
    <xf numFmtId="2" fontId="114" fillId="0" borderId="0" xfId="0" applyNumberFormat="1" applyFont="1" applyAlignment="1" applyProtection="1">
      <alignment horizontal="center" vertical="center"/>
      <protection hidden="1"/>
    </xf>
    <xf numFmtId="0" fontId="125" fillId="0" borderId="36" xfId="0" applyFont="1" applyBorder="1" applyAlignment="1">
      <alignment vertical="center"/>
    </xf>
    <xf numFmtId="0" fontId="125" fillId="0" borderId="35" xfId="0" applyFont="1" applyBorder="1" applyAlignment="1">
      <alignment vertical="center"/>
    </xf>
    <xf numFmtId="0" fontId="36" fillId="17" borderId="0" xfId="0" applyFont="1" applyFill="1" applyBorder="1" applyAlignment="1">
      <alignment horizontal="center" vertical="center" wrapText="1"/>
    </xf>
    <xf numFmtId="0" fontId="116" fillId="0" borderId="55" xfId="0" applyFont="1" applyBorder="1" applyAlignment="1">
      <alignment horizontal="left" wrapText="1"/>
    </xf>
    <xf numFmtId="0" fontId="26" fillId="0" borderId="76" xfId="0" applyFont="1" applyBorder="1" applyAlignment="1">
      <alignment horizontal="left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118" fillId="0" borderId="0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33" xfId="0" applyFont="1" applyFill="1" applyBorder="1" applyAlignment="1">
      <alignment horizontal="center" vertical="center" wrapText="1"/>
    </xf>
    <xf numFmtId="0" fontId="70" fillId="0" borderId="0" xfId="45" applyFont="1" applyBorder="1" applyAlignment="1">
      <alignment horizontal="center"/>
    </xf>
    <xf numFmtId="0" fontId="43" fillId="0" borderId="0" xfId="45" applyFont="1" applyFill="1" applyBorder="1" applyAlignment="1" applyProtection="1">
      <alignment horizontal="left" wrapText="1"/>
      <protection hidden="1"/>
    </xf>
    <xf numFmtId="0" fontId="4" fillId="0" borderId="0" xfId="45" applyFont="1" applyBorder="1" applyAlignment="1" applyProtection="1">
      <alignment horizontal="center"/>
      <protection hidden="1"/>
    </xf>
    <xf numFmtId="0" fontId="7" fillId="0" borderId="0" xfId="45" applyFont="1" applyFill="1" applyBorder="1" applyAlignment="1" applyProtection="1">
      <alignment horizontal="center" wrapText="1"/>
      <protection hidden="1"/>
    </xf>
    <xf numFmtId="0" fontId="7" fillId="0" borderId="50" xfId="45" applyFont="1" applyFill="1" applyBorder="1" applyAlignment="1" applyProtection="1">
      <alignment horizontal="center" wrapText="1"/>
      <protection hidden="1"/>
    </xf>
    <xf numFmtId="0" fontId="42" fillId="21" borderId="6" xfId="45" applyFont="1" applyFill="1" applyBorder="1" applyAlignment="1" applyProtection="1">
      <alignment horizontal="center" vertical="center"/>
      <protection hidden="1"/>
    </xf>
    <xf numFmtId="0" fontId="42" fillId="21" borderId="6" xfId="45" applyFont="1" applyFill="1" applyBorder="1" applyAlignment="1" applyProtection="1">
      <alignment horizontal="center" vertical="center" wrapText="1"/>
      <protection hidden="1"/>
    </xf>
    <xf numFmtId="0" fontId="42" fillId="21" borderId="82" xfId="45" applyFont="1" applyFill="1" applyBorder="1" applyAlignment="1" applyProtection="1">
      <alignment horizontal="center" vertical="center" wrapText="1"/>
      <protection hidden="1"/>
    </xf>
    <xf numFmtId="0" fontId="42" fillId="21" borderId="20" xfId="45" applyFont="1" applyFill="1" applyBorder="1" applyAlignment="1" applyProtection="1">
      <alignment horizontal="center" vertical="center" wrapText="1"/>
      <protection hidden="1"/>
    </xf>
    <xf numFmtId="0" fontId="43" fillId="21" borderId="83" xfId="45" applyFont="1" applyFill="1" applyBorder="1" applyAlignment="1" applyProtection="1">
      <alignment horizontal="center" wrapText="1"/>
      <protection hidden="1"/>
    </xf>
    <xf numFmtId="0" fontId="43" fillId="21" borderId="84" xfId="45" applyFont="1" applyFill="1" applyBorder="1" applyAlignment="1" applyProtection="1">
      <alignment horizontal="center" wrapText="1"/>
      <protection hidden="1"/>
    </xf>
    <xf numFmtId="0" fontId="58" fillId="0" borderId="85" xfId="0" applyFont="1" applyBorder="1" applyAlignment="1">
      <alignment horizontal="left" vertical="center" wrapText="1"/>
    </xf>
    <xf numFmtId="0" fontId="58" fillId="0" borderId="47" xfId="0" applyFont="1" applyBorder="1" applyAlignment="1">
      <alignment horizontal="left" vertical="center" wrapText="1"/>
    </xf>
    <xf numFmtId="0" fontId="58" fillId="0" borderId="44" xfId="0" applyFont="1" applyBorder="1" applyAlignment="1">
      <alignment horizontal="left" vertical="center" wrapText="1"/>
    </xf>
    <xf numFmtId="0" fontId="59" fillId="0" borderId="50" xfId="0" applyFont="1" applyBorder="1" applyAlignment="1">
      <alignment horizontal="center" wrapText="1"/>
    </xf>
    <xf numFmtId="0" fontId="0" fillId="0" borderId="0" xfId="0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66" fillId="17" borderId="5" xfId="0" applyFont="1" applyFill="1" applyBorder="1" applyAlignment="1">
      <alignment horizontal="center" vertical="top" wrapText="1"/>
    </xf>
    <xf numFmtId="0" fontId="66" fillId="17" borderId="14" xfId="0" applyFont="1" applyFill="1" applyBorder="1" applyAlignment="1">
      <alignment horizontal="center" vertical="top" wrapText="1"/>
    </xf>
    <xf numFmtId="0" fontId="66" fillId="17" borderId="15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80" fillId="0" borderId="55" xfId="0" applyFont="1" applyFill="1" applyBorder="1" applyAlignment="1">
      <alignment horizontal="center" wrapText="1"/>
    </xf>
    <xf numFmtId="0" fontId="80" fillId="0" borderId="48" xfId="0" applyFont="1" applyFill="1" applyBorder="1" applyAlignment="1">
      <alignment horizontal="center" wrapText="1"/>
    </xf>
    <xf numFmtId="0" fontId="80" fillId="0" borderId="76" xfId="0" applyFont="1" applyFill="1" applyBorder="1" applyAlignment="1">
      <alignment horizontal="center" wrapText="1"/>
    </xf>
    <xf numFmtId="0" fontId="66" fillId="17" borderId="30" xfId="0" applyFont="1" applyFill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69" fillId="17" borderId="5" xfId="0" applyFont="1" applyFill="1" applyBorder="1" applyAlignment="1">
      <alignment horizontal="center" vertical="top" wrapText="1"/>
    </xf>
    <xf numFmtId="0" fontId="61" fillId="0" borderId="5" xfId="0" applyFont="1" applyBorder="1" applyAlignment="1">
      <alignment horizontal="center" vertical="top" wrapText="1"/>
    </xf>
    <xf numFmtId="0" fontId="47" fillId="0" borderId="14" xfId="0" applyFont="1" applyBorder="1" applyAlignment="1">
      <alignment horizontal="center" vertical="top" wrapText="1"/>
    </xf>
    <xf numFmtId="0" fontId="47" fillId="0" borderId="15" xfId="0" applyFont="1" applyBorder="1" applyAlignment="1">
      <alignment horizontal="center" vertical="top" wrapText="1"/>
    </xf>
    <xf numFmtId="2" fontId="88" fillId="0" borderId="0" xfId="0" applyNumberFormat="1" applyFont="1" applyFill="1" applyBorder="1" applyAlignment="1">
      <alignment horizontal="right" wrapText="1"/>
    </xf>
    <xf numFmtId="0" fontId="68" fillId="0" borderId="0" xfId="0" applyFont="1" applyAlignment="1"/>
    <xf numFmtId="0" fontId="42" fillId="20" borderId="5" xfId="0" applyFont="1" applyFill="1" applyBorder="1" applyAlignment="1" applyProtection="1">
      <alignment horizontal="center" vertical="center" wrapText="1"/>
      <protection hidden="1"/>
    </xf>
    <xf numFmtId="0" fontId="42" fillId="20" borderId="73" xfId="0" applyFont="1" applyFill="1" applyBorder="1" applyAlignment="1" applyProtection="1">
      <alignment horizontal="center" vertical="center" wrapText="1"/>
      <protection hidden="1"/>
    </xf>
    <xf numFmtId="0" fontId="42" fillId="20" borderId="34" xfId="0" applyFont="1" applyFill="1" applyBorder="1" applyAlignment="1" applyProtection="1">
      <alignment horizontal="center" vertical="center" wrapText="1"/>
      <protection hidden="1"/>
    </xf>
    <xf numFmtId="0" fontId="42" fillId="20" borderId="35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Alignment="1" applyProtection="1">
      <alignment horizontal="center" wrapText="1"/>
      <protection hidden="1"/>
    </xf>
    <xf numFmtId="0" fontId="42" fillId="20" borderId="5" xfId="0" applyFont="1" applyFill="1" applyBorder="1" applyAlignment="1" applyProtection="1">
      <alignment horizontal="center" vertical="center"/>
      <protection hidden="1"/>
    </xf>
    <xf numFmtId="0" fontId="42" fillId="20" borderId="14" xfId="0" applyFont="1" applyFill="1" applyBorder="1" applyAlignment="1" applyProtection="1">
      <alignment horizontal="center" vertical="center"/>
      <protection hidden="1"/>
    </xf>
    <xf numFmtId="0" fontId="42" fillId="16" borderId="5" xfId="0" applyFont="1" applyFill="1" applyBorder="1" applyAlignment="1" applyProtection="1">
      <alignment horizontal="center" vertical="center"/>
      <protection hidden="1"/>
    </xf>
    <xf numFmtId="0" fontId="42" fillId="16" borderId="14" xfId="0" applyFont="1" applyFill="1" applyBorder="1" applyAlignment="1" applyProtection="1">
      <alignment horizontal="center" vertical="center"/>
      <protection hidden="1"/>
    </xf>
    <xf numFmtId="0" fontId="59" fillId="0" borderId="0" xfId="0" applyFont="1" applyFill="1" applyBorder="1" applyAlignment="1" applyProtection="1">
      <alignment horizontal="center" vertical="justify" wrapText="1"/>
      <protection hidden="1"/>
    </xf>
    <xf numFmtId="0" fontId="42" fillId="20" borderId="36" xfId="0" applyFont="1" applyFill="1" applyBorder="1" applyAlignment="1" applyProtection="1">
      <alignment horizontal="center" vertical="center" wrapText="1"/>
      <protection hidden="1"/>
    </xf>
    <xf numFmtId="0" fontId="2" fillId="16" borderId="14" xfId="0" applyFont="1" applyFill="1" applyBorder="1" applyAlignment="1" applyProtection="1">
      <alignment horizontal="center" vertical="center" wrapText="1"/>
      <protection hidden="1"/>
    </xf>
    <xf numFmtId="0" fontId="2" fillId="16" borderId="29" xfId="0" applyFont="1" applyFill="1" applyBorder="1" applyAlignment="1" applyProtection="1">
      <alignment horizontal="center" vertical="center"/>
      <protection hidden="1"/>
    </xf>
    <xf numFmtId="0" fontId="2" fillId="16" borderId="50" xfId="0" applyFont="1" applyFill="1" applyBorder="1" applyAlignment="1" applyProtection="1">
      <alignment horizontal="center" vertical="center"/>
      <protection hidden="1"/>
    </xf>
    <xf numFmtId="0" fontId="2" fillId="16" borderId="54" xfId="0" applyFont="1" applyFill="1" applyBorder="1" applyAlignment="1" applyProtection="1">
      <alignment horizontal="center" vertical="center"/>
      <protection hidden="1"/>
    </xf>
    <xf numFmtId="0" fontId="51" fillId="0" borderId="6" xfId="0" applyFont="1" applyBorder="1" applyAlignment="1">
      <alignment horizontal="center" vertical="center"/>
    </xf>
    <xf numFmtId="0" fontId="9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 wrapText="1"/>
    </xf>
  </cellXfs>
  <cellStyles count="5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Comma 2" xfId="19"/>
    <cellStyle name="Excel Built-in Normal" xfId="20"/>
    <cellStyle name="Normal_Tarif_Xmelnizki" xfId="21"/>
    <cellStyle name="Normal_Tarif_Xmelnizki 2" xfId="22"/>
    <cellStyle name="Tytuі" xfId="23"/>
    <cellStyle name="Акцент1" xfId="24"/>
    <cellStyle name="Акцент2" xfId="25"/>
    <cellStyle name="Акцент3" xfId="26"/>
    <cellStyle name="Акцент4" xfId="27"/>
    <cellStyle name="Акцент5" xfId="28"/>
    <cellStyle name="Акцент6" xfId="29"/>
    <cellStyle name="Відсотковий 2" xfId="30"/>
    <cellStyle name="Відсотковий 3" xfId="31"/>
    <cellStyle name="Вывод" xfId="32"/>
    <cellStyle name="Вычисление" xfId="33"/>
    <cellStyle name="Звичайний 2" xfId="34"/>
    <cellStyle name="Звичайний 3" xfId="35"/>
    <cellStyle name="Звичайний 4" xfId="36"/>
    <cellStyle name="Итог" xfId="37"/>
    <cellStyle name="Нейтральный" xfId="38"/>
    <cellStyle name="Обычный" xfId="0" builtinId="0"/>
    <cellStyle name="Обычный 2" xfId="39"/>
    <cellStyle name="Обычный 2 2" xfId="40"/>
    <cellStyle name="Обычный 3" xfId="41"/>
    <cellStyle name="Обычный 4" xfId="42"/>
    <cellStyle name="Обычный_Elektroenergiya_Dodatok_8" xfId="43"/>
    <cellStyle name="Обычный_Rozrahunok_tariff_virobnictvo_Dodatok_3" xfId="44"/>
    <cellStyle name="Обычный_Книга2" xfId="45"/>
    <cellStyle name="Плохой" xfId="46"/>
    <cellStyle name="Пояснение" xfId="47"/>
    <cellStyle name="Примечание" xfId="48"/>
    <cellStyle name="Процентный" xfId="49" builtinId="5"/>
    <cellStyle name="Процентный 2" xfId="50"/>
    <cellStyle name="Процентный_Книга2" xfId="51"/>
    <cellStyle name="Финансовый 2" xfId="52"/>
    <cellStyle name="Финансовый 3" xfId="53"/>
  </cellStyles>
  <dxfs count="21"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44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i-server\OfficeWork\Irpin\Tarif_Irpin_11_07%20_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86;&#1073;&#1086;&#1090;&#1072;\_&#1058;&#1040;&#1056;&#1048;&#1060;\&#1052;&#1086;&#1085;&#1072;&#1089;&#1090;&#1080;&#1088;&#1080;&#1097;&#1077;\2020\Users\Asus\Desktop\reestr_budynkiv_29_04_2014_za%20Monastyryshche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OV\&#1057;&#1074;&#1103;&#1090;&#1086;&#1096;&#1080;&#1085;.&#1044;&#1080;&#1088;&#1077;&#1082;&#1094;&#1080;&#1103;\&#1044;&#1059;&#1054;&#1046;&#1060;\&#1076;&#1086;&#1076;&#1072;&#1090;&#1086;&#1082;%2011%20&#1076;&#1086;%20&#1083;&#1080;&#1089;&#1090;&#107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86;&#1073;&#1086;&#1090;&#1072;\_&#1058;&#1040;&#1056;&#1048;&#1060;\&#1052;&#1086;&#1085;&#1072;&#1089;&#1090;&#1080;&#1088;&#1080;&#1097;&#1077;\2020\&#1058;&#1040;&#1056;&#1048;&#1060;%20&#1052;&#1110;&#1096;&#1072;%2029%20&#1095;&#1077;&#1088;&#1074;&#1085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міст"/>
      <sheetName val="Вхідні дані"/>
      <sheetName val="Хар.ліцен."/>
      <sheetName val="Заг.хар.ліц.Дод9"/>
      <sheetName val="Обсяги вироб_реаліз_ТЕ"/>
      <sheetName val="Дод2"/>
      <sheetName val="Інвест_Програм"/>
      <sheetName val="Тарифи_послуга ЦО_ГВП"/>
      <sheetName val="Дод.10"/>
      <sheetName val="Дод.3"/>
      <sheetName val="Дод4"/>
      <sheetName val="Дод5"/>
      <sheetName val="Дод.6"/>
      <sheetName val="Витрати_дод.НК"/>
      <sheetName val="Повна собівартість_ТЕ"/>
      <sheetName val="Прямі_ТЕ_всього"/>
      <sheetName val="прямі_інші"/>
      <sheetName val="Загальновиробничі"/>
      <sheetName val="Адміністративні"/>
      <sheetName val="Збут"/>
      <sheetName val="Паливо"/>
      <sheetName val="паливо (НКРКП)"/>
      <sheetName val="Дод.7"/>
      <sheetName val="Електр_енерг"/>
      <sheetName val="електроенергія(НКРРКП)"/>
      <sheetName val="Дод.8"/>
      <sheetName val="ПММ"/>
      <sheetName val="Хім_реаг"/>
      <sheetName val="дод.11 вода"/>
      <sheetName val="Вода_Водовід"/>
      <sheetName val="Амортизація"/>
      <sheetName val="Охорон_ праці"/>
      <sheetName val="Дод.13_ЗП_ЗУ&quot;ОП&quot;"/>
      <sheetName val="Дод.14_ЗП_ПсБО16"/>
      <sheetName val="ЗП_Всього по під-ву"/>
      <sheetName val="Заг.ЗП за рік"/>
      <sheetName val="Літо (виробництво ТЕЦ та ін.)"/>
      <sheetName val="Зима (виробництво ТЕЦ та ін.)"/>
      <sheetName val="Літо (виробництво)"/>
      <sheetName val="Зима (виробництво)"/>
      <sheetName val="Літо (транспортування)"/>
      <sheetName val="Зима (транспортування)"/>
      <sheetName val="Літо (постачання)"/>
      <sheetName val="Зима (постачання)"/>
      <sheetName val="Літо (заг.-виробничі)"/>
      <sheetName val="Зима (заг.-виробничі)"/>
      <sheetName val="Літо (адміністративні)"/>
      <sheetName val="Зима (адміністративні)"/>
      <sheetName val="Подат_Збори"/>
      <sheetName val="Зв_язок"/>
      <sheetName val="Фін_витр"/>
      <sheetName val="дод.12 ремонти"/>
      <sheetName val="Ремонти"/>
      <sheetName val="Тепловий баланс_Питома_нор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Д1. реєстр"/>
      <sheetName val="скрыть"/>
      <sheetName val="Лист3"/>
      <sheetName val="Лист4"/>
    </sheetNames>
    <sheetDataSet>
      <sheetData sheetId="0"/>
      <sheetData sheetId="1">
        <row r="4">
          <cell r="B4" t="str">
            <v>вибрати</v>
          </cell>
          <cell r="D4" t="str">
            <v>вибрати</v>
          </cell>
          <cell r="G4" t="str">
            <v>вибрати</v>
          </cell>
        </row>
        <row r="5">
          <cell r="B5">
            <v>1</v>
          </cell>
          <cell r="D5" t="str">
            <v>наявний</v>
          </cell>
          <cell r="G5" t="str">
            <v>наявний</v>
          </cell>
        </row>
        <row r="6">
          <cell r="B6">
            <v>2</v>
          </cell>
          <cell r="D6" t="str">
            <v>відсутній</v>
          </cell>
          <cell r="G6" t="str">
            <v>відсутній</v>
          </cell>
        </row>
        <row r="7">
          <cell r="B7">
            <v>3</v>
          </cell>
        </row>
        <row r="8">
          <cell r="B8">
            <v>4</v>
          </cell>
        </row>
        <row r="9">
          <cell r="B9" t="str">
            <v>5 і вище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додаток 2 до Процедури"/>
      <sheetName val="скрыть"/>
      <sheetName val="Лист3"/>
      <sheetName val="Лист4"/>
      <sheetName val="Зміст"/>
      <sheetName val="Дод.3"/>
      <sheetName val="Дод.4_Тар_ВТЕ"/>
      <sheetName val="Дод.5_Тар_ТТЕ"/>
      <sheetName val="Дод.6_Тар_ПТЕ"/>
      <sheetName val="Дод.7_Тар_ТЕ"/>
      <sheetName val="Дод.8_паливо"/>
      <sheetName val="Дод.9_ел_ен"/>
      <sheetName val="Дод.10_Хар.Ліц."/>
      <sheetName val="Дод.11_Будинки"/>
      <sheetName val="Дод.12_Об_ЦО"/>
      <sheetName val="Дод.13_Об_ЦПГВ"/>
      <sheetName val="Дод.14_Тар_ЦО_ЦПГВ"/>
      <sheetName val="Вхід_дані"/>
      <sheetName val="Пр._навант. "/>
      <sheetName val="Приєднане_навантаж"/>
      <sheetName val="Річ_план_ВТП_ТЕ "/>
      <sheetName val="Тариф_ЦО_ГВП"/>
      <sheetName val="Тариф_ТЕ_1ст"/>
      <sheetName val="Витрати на кап_інвестиції"/>
      <sheetName val="Повна собів"/>
      <sheetName val="Прямі"/>
      <sheetName val="Загальновиробничі"/>
      <sheetName val="Адміністративні"/>
      <sheetName val="Збут послуг"/>
      <sheetName val="Паливо"/>
      <sheetName val="Електр_енерг"/>
      <sheetName val="Вода_Водовід"/>
      <sheetName val="Мат_витр"/>
      <sheetName val="Охорон_ прац"/>
      <sheetName val="Амортизація "/>
      <sheetName val="ЗП_Всього по під-ву"/>
      <sheetName val="ЗП_Виробнич"/>
      <sheetName val="ЗП_Загальновир"/>
      <sheetName val="ЗП_Адміністр"/>
      <sheetName val="ЗП_абон.служб"/>
      <sheetName val="Зв'язок"/>
      <sheetName val="Подат_Збори"/>
      <sheetName val="Ремон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B4">
            <v>0</v>
          </cell>
          <cell r="D4">
            <v>0</v>
          </cell>
          <cell r="G4">
            <v>0</v>
          </cell>
        </row>
        <row r="5">
          <cell r="B5">
            <v>0</v>
          </cell>
          <cell r="D5">
            <v>0</v>
          </cell>
          <cell r="G5">
            <v>0</v>
          </cell>
        </row>
        <row r="6">
          <cell r="B6">
            <v>0</v>
          </cell>
          <cell r="D6">
            <v>0</v>
          </cell>
          <cell r="G6">
            <v>0</v>
          </cell>
        </row>
        <row r="7">
          <cell r="B7" t="str">
            <v>Адреса житлового будинку, вулиця, будинок, корпус</v>
          </cell>
        </row>
        <row r="8">
          <cell r="B8">
            <v>0</v>
          </cell>
        </row>
        <row r="9">
          <cell r="B9">
            <v>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озрахунок прибутку"/>
      <sheetName val="розр.виробн. дод.2,1Міша"/>
      <sheetName val="розр. транспорт. дод.3 Міша"/>
      <sheetName val="розр.виробн. дод.2 Міша"/>
      <sheetName val="розр. пост. дод.4 Міша"/>
      <sheetName val="дод.5 тариф ТЕ"/>
      <sheetName val="Тариф двостав ТЕ Дод.6 (1)"/>
      <sheetName val="Тариф двостав ТЕ Дод.6"/>
      <sheetName val="Втрати"/>
      <sheetName val="СОБІВАР"/>
      <sheetName val="Прямі в-ти"/>
      <sheetName val="Паливо,"/>
      <sheetName val="Річний план дод.7"/>
      <sheetName val="Обсяг в-ва і реал"/>
      <sheetName val="Електроен. д.9"/>
      <sheetName val="Вода розп"/>
      <sheetName val="ЗП Всього"/>
      <sheetName val="ЗП рік"/>
      <sheetName val="91"/>
      <sheetName val="92"/>
      <sheetName val="Вхідні дані для Міши"/>
      <sheetName val="Зміст"/>
      <sheetName val="Лист1"/>
      <sheetName val="Вхідні дані"/>
      <sheetName val="внутрібудинк"/>
      <sheetName val="Графік"/>
      <sheetName val="Дома"/>
      <sheetName val="Тариф на ЦО"/>
      <sheetName val="абон обслуг"/>
      <sheetName val="Заг характер"/>
      <sheetName val="лічильники"/>
      <sheetName val="розр.виробн. дод.2"/>
      <sheetName val="розр.виробн. дод.2,1 "/>
      <sheetName val="розр. транспорт. дод.3"/>
      <sheetName val="розр. пост. дод.4"/>
      <sheetName val="Лист2"/>
      <sheetName val="ГАЗ дод.8"/>
      <sheetName val="факт газ (2)"/>
      <sheetName val="факт газ"/>
      <sheetName val="ДОД 9,1"/>
      <sheetName val="Витрати пального"/>
      <sheetName val="Витрати мастил"/>
      <sheetName val="ПММ всього"/>
      <sheetName val="Амортизація"/>
      <sheetName val="ЗП"/>
      <sheetName val="ЗП 91"/>
      <sheetName val="ЗП 92"/>
      <sheetName val="ЗП В-во"/>
      <sheetName val="Вода"/>
      <sheetName val="Хімреаг"/>
      <sheetName val="Ремонти"/>
      <sheetName val="Охорона праці"/>
      <sheetName val="Структура ТЕ"/>
      <sheetName val="Структ.вироб.ТЕ"/>
      <sheetName val="cтр. транспорт.всі"/>
      <sheetName val="cтр. постачання"/>
      <sheetName val="2ст.тарифи дод.6.1"/>
      <sheetName val="струк.тар.ЦО2"/>
      <sheetName val="Отчет о совместимос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72"/>
  <sheetViews>
    <sheetView tabSelected="1" topLeftCell="B44" workbookViewId="0">
      <selection activeCell="B1" sqref="B1:H58"/>
    </sheetView>
  </sheetViews>
  <sheetFormatPr defaultRowHeight="12.75"/>
  <cols>
    <col min="1" max="1" width="1.7109375" style="1082" customWidth="1"/>
    <col min="2" max="2" width="5.85546875" style="1122" customWidth="1"/>
    <col min="3" max="3" width="77.5703125" style="1122" customWidth="1"/>
    <col min="4" max="4" width="11.5703125" style="1122" customWidth="1"/>
    <col min="5" max="5" width="12.85546875" style="1122" customWidth="1"/>
    <col min="6" max="6" width="10.85546875" style="1122" customWidth="1"/>
    <col min="7" max="7" width="11.28515625" style="1122" customWidth="1"/>
    <col min="8" max="8" width="10.140625" style="1122" customWidth="1"/>
    <col min="10" max="10" width="10.85546875" bestFit="1" customWidth="1"/>
    <col min="11" max="12" width="9.28515625" bestFit="1" customWidth="1"/>
  </cols>
  <sheetData>
    <row r="1" spans="1:12">
      <c r="H1" s="1232" t="s">
        <v>188</v>
      </c>
    </row>
    <row r="2" spans="1:12" ht="15.75">
      <c r="B2" s="1422" t="s">
        <v>166</v>
      </c>
      <c r="C2" s="1422"/>
      <c r="D2" s="1422"/>
      <c r="E2" s="1422"/>
      <c r="F2" s="1422"/>
      <c r="G2" s="1422"/>
      <c r="H2" s="1422"/>
      <c r="I2" s="1062"/>
    </row>
    <row r="3" spans="1:12" ht="15.75">
      <c r="B3" s="1423" t="s">
        <v>361</v>
      </c>
      <c r="C3" s="1423"/>
      <c r="D3" s="1423"/>
      <c r="E3" s="1423"/>
      <c r="F3" s="1423"/>
      <c r="G3" s="1423"/>
      <c r="H3" s="1423"/>
    </row>
    <row r="4" spans="1:12">
      <c r="B4" s="1152"/>
      <c r="C4" s="1152"/>
      <c r="D4" s="1152"/>
      <c r="E4" s="1152"/>
      <c r="F4" s="1152"/>
      <c r="G4" s="1152"/>
      <c r="H4" s="1122" t="s">
        <v>437</v>
      </c>
    </row>
    <row r="5" spans="1:12" ht="12.75" customHeight="1">
      <c r="B5" s="1424" t="s">
        <v>438</v>
      </c>
      <c r="C5" s="1424" t="s">
        <v>167</v>
      </c>
      <c r="D5" s="1424" t="s">
        <v>440</v>
      </c>
      <c r="E5" s="1424" t="s">
        <v>168</v>
      </c>
      <c r="F5" s="1424" t="s">
        <v>169</v>
      </c>
      <c r="G5" s="1424"/>
      <c r="H5" s="1424"/>
    </row>
    <row r="6" spans="1:12" ht="25.5">
      <c r="B6" s="1424"/>
      <c r="C6" s="1424"/>
      <c r="D6" s="1424"/>
      <c r="E6" s="1424"/>
      <c r="F6" s="1281" t="s">
        <v>442</v>
      </c>
      <c r="G6" s="1281" t="s">
        <v>170</v>
      </c>
      <c r="H6" s="1281" t="s">
        <v>171</v>
      </c>
    </row>
    <row r="7" spans="1:12" s="100" customFormat="1">
      <c r="A7" s="1122"/>
      <c r="B7" s="1282" t="s">
        <v>445</v>
      </c>
      <c r="C7" s="1282" t="s">
        <v>446</v>
      </c>
      <c r="D7" s="1282" t="s">
        <v>447</v>
      </c>
      <c r="E7" s="1282" t="s">
        <v>448</v>
      </c>
      <c r="F7" s="1282" t="s">
        <v>449</v>
      </c>
      <c r="G7" s="1282" t="s">
        <v>450</v>
      </c>
      <c r="H7" s="1282" t="s">
        <v>451</v>
      </c>
    </row>
    <row r="8" spans="1:12" s="100" customFormat="1" ht="15">
      <c r="A8" s="1122"/>
      <c r="B8" s="1282" t="s">
        <v>445</v>
      </c>
      <c r="C8" s="1283" t="s">
        <v>172</v>
      </c>
      <c r="D8" s="1282" t="s">
        <v>732</v>
      </c>
      <c r="E8" s="1157">
        <f>F8+G8+H8</f>
        <v>11982</v>
      </c>
      <c r="F8" s="1226">
        <v>7652</v>
      </c>
      <c r="G8" s="1226">
        <v>4020</v>
      </c>
      <c r="H8" s="1226">
        <v>310</v>
      </c>
      <c r="J8" s="1408">
        <f>F8/E8</f>
        <v>0.63862460357202466</v>
      </c>
      <c r="K8" s="1408">
        <f>G8/E8</f>
        <v>0.33550325488232347</v>
      </c>
      <c r="L8" s="1408">
        <f>H8/E8</f>
        <v>2.587214154565181E-2</v>
      </c>
    </row>
    <row r="9" spans="1:12" s="100" customFormat="1">
      <c r="A9" s="1122"/>
      <c r="B9" s="1282" t="s">
        <v>446</v>
      </c>
      <c r="C9" s="1283" t="s">
        <v>173</v>
      </c>
      <c r="D9" s="1282" t="s">
        <v>174</v>
      </c>
      <c r="E9" s="1284">
        <f>SUM(F9:H9)</f>
        <v>7.5060000000000002</v>
      </c>
      <c r="F9" s="1284">
        <v>3.859</v>
      </c>
      <c r="G9" s="1284">
        <v>3.0339999999999998</v>
      </c>
      <c r="H9" s="1284">
        <v>0.61299999999999999</v>
      </c>
      <c r="J9" s="1408">
        <f>F9/E9</f>
        <v>0.51412203570476955</v>
      </c>
      <c r="K9" s="1408">
        <f>G9/E9</f>
        <v>0.40420996536104448</v>
      </c>
      <c r="L9" s="1408">
        <f>H9/E9</f>
        <v>8.1667998934185984E-2</v>
      </c>
    </row>
    <row r="10" spans="1:12" s="100" customFormat="1">
      <c r="A10" s="1122"/>
      <c r="B10" s="1282" t="s">
        <v>578</v>
      </c>
      <c r="C10" s="1418" t="s">
        <v>175</v>
      </c>
      <c r="D10" s="1418"/>
      <c r="E10" s="1418"/>
      <c r="F10" s="1418"/>
      <c r="G10" s="1418"/>
      <c r="H10" s="1418"/>
      <c r="J10" s="1153"/>
      <c r="K10" s="1154"/>
    </row>
    <row r="11" spans="1:12" s="100" customFormat="1">
      <c r="A11" s="1122"/>
      <c r="B11" s="1282" t="s">
        <v>447</v>
      </c>
      <c r="C11" s="1283" t="s">
        <v>176</v>
      </c>
      <c r="D11" s="1282" t="s">
        <v>177</v>
      </c>
      <c r="E11" s="1285">
        <f>'розр.виробн. дод.3'!E34</f>
        <v>27612.526635016577</v>
      </c>
      <c r="F11" s="1285">
        <f>'розр.виробн. дод.3'!F34</f>
        <v>14358.180539390803</v>
      </c>
      <c r="G11" s="1285">
        <f>'розр.виробн. дод.3'!G34</f>
        <v>12305.420624576354</v>
      </c>
      <c r="H11" s="1285">
        <f>'розр.виробн. дод.3'!H34</f>
        <v>948.92547104942037</v>
      </c>
      <c r="I11" s="1153"/>
      <c r="J11" s="1153"/>
      <c r="K11" s="1155"/>
    </row>
    <row r="12" spans="1:12" s="100" customFormat="1">
      <c r="A12" s="1122"/>
      <c r="B12" s="1282" t="s">
        <v>460</v>
      </c>
      <c r="C12" s="1283" t="s">
        <v>178</v>
      </c>
      <c r="D12" s="1282" t="s">
        <v>177</v>
      </c>
      <c r="E12" s="1285">
        <f>E13+E14+E15</f>
        <v>20883.378019695345</v>
      </c>
      <c r="F12" s="1285">
        <f>F13+F14+F15</f>
        <v>10060.780672554043</v>
      </c>
      <c r="G12" s="1285">
        <f>G13+G14+G15</f>
        <v>10047.769361549203</v>
      </c>
      <c r="H12" s="1285">
        <f>H13+H14+H15</f>
        <v>774.82798559210278</v>
      </c>
    </row>
    <row r="13" spans="1:12" s="100" customFormat="1">
      <c r="A13" s="1122"/>
      <c r="B13" s="1282" t="s">
        <v>179</v>
      </c>
      <c r="C13" s="1283" t="s">
        <v>180</v>
      </c>
      <c r="D13" s="1282" t="s">
        <v>177</v>
      </c>
      <c r="E13" s="1285">
        <f>'розр.виробн. дод.3'!E10</f>
        <v>20753.821955695345</v>
      </c>
      <c r="F13" s="1285">
        <f>'розр.виробн. дод.3'!F10</f>
        <v>9978.0429825416904</v>
      </c>
      <c r="G13" s="1285">
        <f>'розр.виробн. дод.3'!G10</f>
        <v>10004.30288038746</v>
      </c>
      <c r="H13" s="1285">
        <f>'розр.виробн. дод.3'!H10</f>
        <v>771.47609276619721</v>
      </c>
      <c r="J13" s="1153"/>
    </row>
    <row r="14" spans="1:12" s="100" customFormat="1">
      <c r="A14" s="1122"/>
      <c r="B14" s="1282" t="s">
        <v>181</v>
      </c>
      <c r="C14" s="1283" t="s">
        <v>182</v>
      </c>
      <c r="D14" s="1282" t="s">
        <v>177</v>
      </c>
      <c r="E14" s="1285">
        <f>'розр.виробн. дод.3'!E11</f>
        <v>129.55606399999999</v>
      </c>
      <c r="F14" s="1285">
        <f>'розр.виробн. дод.3'!F11</f>
        <v>82.737690012351848</v>
      </c>
      <c r="G14" s="1285">
        <f>'розр.виробн. дод.3'!G11</f>
        <v>43.466481161742607</v>
      </c>
      <c r="H14" s="1285">
        <f>'розр.виробн. дод.3'!H11</f>
        <v>3.3518928259055247</v>
      </c>
    </row>
    <row r="15" spans="1:12" s="100" customFormat="1" ht="25.5">
      <c r="A15" s="1122"/>
      <c r="B15" s="1282" t="s">
        <v>183</v>
      </c>
      <c r="C15" s="1283" t="s">
        <v>184</v>
      </c>
      <c r="D15" s="1282" t="s">
        <v>177</v>
      </c>
      <c r="E15" s="1285">
        <v>0</v>
      </c>
      <c r="F15" s="1285">
        <v>0</v>
      </c>
      <c r="G15" s="1285">
        <v>0</v>
      </c>
      <c r="H15" s="1285">
        <v>0</v>
      </c>
    </row>
    <row r="16" spans="1:12" s="100" customFormat="1" ht="25.5">
      <c r="A16" s="1122"/>
      <c r="B16" s="1282" t="s">
        <v>462</v>
      </c>
      <c r="C16" s="1283" t="s">
        <v>185</v>
      </c>
      <c r="D16" s="1282" t="s">
        <v>723</v>
      </c>
      <c r="E16" s="1285">
        <f>E11-E12</f>
        <v>6729.1486153212318</v>
      </c>
      <c r="F16" s="1285">
        <f>F11-F12</f>
        <v>4297.3998668367603</v>
      </c>
      <c r="G16" s="1285">
        <f>G11-G12</f>
        <v>2257.6512630271518</v>
      </c>
      <c r="H16" s="1285">
        <f>H11-H12</f>
        <v>174.09748545731759</v>
      </c>
    </row>
    <row r="17" spans="1:11" s="100" customFormat="1">
      <c r="A17" s="1122"/>
      <c r="B17" s="1282" t="s">
        <v>448</v>
      </c>
      <c r="C17" s="1283" t="s">
        <v>231</v>
      </c>
      <c r="D17" s="1282" t="s">
        <v>723</v>
      </c>
      <c r="E17" s="1157">
        <f>SUM(F17:H17)</f>
        <v>1346.6076989364885</v>
      </c>
      <c r="F17" s="1157">
        <f>'розр.виробн. дод.3'!F36</f>
        <v>700.2197485450107</v>
      </c>
      <c r="G17" s="1157">
        <f>'розр.виробн. дод.3'!G36</f>
        <v>600.11075301933965</v>
      </c>
      <c r="H17" s="1157">
        <f>'розр.виробн. дод.3'!H36</f>
        <v>46.27719737213814</v>
      </c>
      <c r="J17" s="1153"/>
    </row>
    <row r="18" spans="1:11" s="100" customFormat="1">
      <c r="A18" s="1122"/>
      <c r="B18" s="1282" t="s">
        <v>720</v>
      </c>
      <c r="C18" s="1283" t="s">
        <v>232</v>
      </c>
      <c r="D18" s="1282" t="s">
        <v>723</v>
      </c>
      <c r="E18" s="1157">
        <f>F18+G18+H18</f>
        <v>0</v>
      </c>
      <c r="F18" s="1157">
        <v>0</v>
      </c>
      <c r="G18" s="1157">
        <v>0</v>
      </c>
      <c r="H18" s="1157">
        <v>0</v>
      </c>
    </row>
    <row r="19" spans="1:11" s="100" customFormat="1">
      <c r="A19" s="1122"/>
      <c r="B19" s="1282" t="s">
        <v>722</v>
      </c>
      <c r="C19" s="1283" t="s">
        <v>233</v>
      </c>
      <c r="D19" s="1282" t="s">
        <v>723</v>
      </c>
      <c r="E19" s="1157">
        <f>F19+G19+H19</f>
        <v>1346.6076989364885</v>
      </c>
      <c r="F19" s="1157">
        <f>F17</f>
        <v>700.2197485450107</v>
      </c>
      <c r="G19" s="1157">
        <f>G17</f>
        <v>600.11075301933965</v>
      </c>
      <c r="H19" s="1157">
        <f>H17</f>
        <v>46.27719737213814</v>
      </c>
      <c r="I19" s="98"/>
      <c r="J19" s="1156"/>
    </row>
    <row r="20" spans="1:11" s="100" customFormat="1">
      <c r="A20" s="1122"/>
      <c r="B20" s="1282" t="s">
        <v>449</v>
      </c>
      <c r="C20" s="1283" t="s">
        <v>234</v>
      </c>
      <c r="D20" s="1282" t="s">
        <v>452</v>
      </c>
      <c r="E20" s="1157">
        <f>E21+E22</f>
        <v>1742.8958454093929</v>
      </c>
      <c r="F20" s="1157">
        <f>F21+F22</f>
        <v>1314.7909922313177</v>
      </c>
      <c r="G20" s="1157">
        <f>G21+G22</f>
        <v>2499.4451148132348</v>
      </c>
      <c r="H20" s="1157">
        <f>H21+H22</f>
        <v>2499.4451148132348</v>
      </c>
    </row>
    <row r="21" spans="1:11" s="100" customFormat="1">
      <c r="A21" s="1122"/>
      <c r="B21" s="1282" t="s">
        <v>724</v>
      </c>
      <c r="C21" s="1283" t="s">
        <v>235</v>
      </c>
      <c r="D21" s="1282" t="s">
        <v>452</v>
      </c>
      <c r="E21" s="1157">
        <f>E12/E8*1000</f>
        <v>1742.8958454093929</v>
      </c>
      <c r="F21" s="1157">
        <f>F12/F8*1000</f>
        <v>1314.7909922313177</v>
      </c>
      <c r="G21" s="1291">
        <f>G12/G8*1000</f>
        <v>2499.4451148132348</v>
      </c>
      <c r="H21" s="1291">
        <f>H12/H8*1000</f>
        <v>2499.4451148132348</v>
      </c>
    </row>
    <row r="22" spans="1:11" s="100" customFormat="1">
      <c r="A22" s="1122"/>
      <c r="B22" s="1282" t="s">
        <v>726</v>
      </c>
      <c r="C22" s="1283" t="s">
        <v>236</v>
      </c>
      <c r="D22" s="1282" t="s">
        <v>452</v>
      </c>
      <c r="E22" s="1157">
        <f>E18/E8*1000</f>
        <v>0</v>
      </c>
      <c r="F22" s="1157">
        <f>F18/F8*1000</f>
        <v>0</v>
      </c>
      <c r="G22" s="1157">
        <f>G18/G8*1000</f>
        <v>0</v>
      </c>
      <c r="H22" s="1157">
        <f>H18/H8*1000</f>
        <v>0</v>
      </c>
    </row>
    <row r="23" spans="1:11" s="100" customFormat="1" ht="25.5">
      <c r="A23" s="1122"/>
      <c r="B23" s="1282" t="s">
        <v>450</v>
      </c>
      <c r="C23" s="1283" t="s">
        <v>237</v>
      </c>
      <c r="D23" s="1282" t="s">
        <v>238</v>
      </c>
      <c r="E23" s="1157">
        <f>E24+E25</f>
        <v>89658.898595098581</v>
      </c>
      <c r="F23" s="1157">
        <f>F24+F25</f>
        <v>107921.3011873061</v>
      </c>
      <c r="G23" s="1157">
        <f>G24+G25</f>
        <v>78492.694354166451</v>
      </c>
      <c r="H23" s="1157">
        <f>H24+H25</f>
        <v>29958.494131247382</v>
      </c>
    </row>
    <row r="24" spans="1:11" s="100" customFormat="1" ht="15" customHeight="1">
      <c r="A24" s="1122"/>
      <c r="B24" s="1282" t="s">
        <v>728</v>
      </c>
      <c r="C24" s="1283" t="s">
        <v>239</v>
      </c>
      <c r="D24" s="1282" t="s">
        <v>238</v>
      </c>
      <c r="E24" s="1157">
        <f>E16/E9/12*1000</f>
        <v>74708.551107127976</v>
      </c>
      <c r="F24" s="1157">
        <f>F16/F9/12*1000</f>
        <v>92800.37718832081</v>
      </c>
      <c r="G24" s="1157">
        <f>G16/G9/12*1000</f>
        <v>62009.757828695678</v>
      </c>
      <c r="H24" s="1157">
        <f>H16/H9/12*1000</f>
        <v>23667.412378645677</v>
      </c>
    </row>
    <row r="25" spans="1:11" s="100" customFormat="1" ht="17.25" customHeight="1">
      <c r="A25" s="1122"/>
      <c r="B25" s="1282" t="s">
        <v>730</v>
      </c>
      <c r="C25" s="1283" t="s">
        <v>240</v>
      </c>
      <c r="D25" s="1282" t="s">
        <v>241</v>
      </c>
      <c r="E25" s="1157">
        <f>E19/E9/12*1000</f>
        <v>14950.347487970605</v>
      </c>
      <c r="F25" s="1157">
        <f>F19/F9/12*1000</f>
        <v>15120.923998985289</v>
      </c>
      <c r="G25" s="1157">
        <f>G19/G9/12*1000</f>
        <v>16482.936525470766</v>
      </c>
      <c r="H25" s="1157">
        <f>H19/H9/12*1000</f>
        <v>6291.0817526017045</v>
      </c>
    </row>
    <row r="26" spans="1:11" s="100" customFormat="1">
      <c r="A26" s="1122"/>
      <c r="B26" s="1282" t="s">
        <v>578</v>
      </c>
      <c r="C26" s="1418" t="s">
        <v>242</v>
      </c>
      <c r="D26" s="1418"/>
      <c r="E26" s="1418"/>
      <c r="F26" s="1418"/>
      <c r="G26" s="1418"/>
      <c r="H26" s="1418"/>
    </row>
    <row r="27" spans="1:11" s="100" customFormat="1" ht="15" customHeight="1">
      <c r="A27" s="1122"/>
      <c r="B27" s="1282" t="s">
        <v>451</v>
      </c>
      <c r="C27" s="1283" t="s">
        <v>243</v>
      </c>
      <c r="D27" s="1282" t="s">
        <v>177</v>
      </c>
      <c r="E27" s="1285">
        <f>SUM(F27:H27)</f>
        <v>7157.7425063316141</v>
      </c>
      <c r="F27" s="1285">
        <f>'розр. транспорт. дод4'!F34</f>
        <v>4571.1104705766575</v>
      </c>
      <c r="G27" s="1285">
        <f>'розр. транспорт. дод4'!G34</f>
        <v>2401.4459084838168</v>
      </c>
      <c r="H27" s="1285">
        <f>'розр. транспорт. дод4'!H34</f>
        <v>185.18612727114009</v>
      </c>
      <c r="J27" s="1156"/>
      <c r="K27" s="1155"/>
    </row>
    <row r="28" spans="1:11" s="100" customFormat="1" ht="15" customHeight="1">
      <c r="A28" s="1122"/>
      <c r="B28" s="1282" t="s">
        <v>733</v>
      </c>
      <c r="C28" s="1283" t="s">
        <v>178</v>
      </c>
      <c r="D28" s="1282" t="s">
        <v>177</v>
      </c>
      <c r="E28" s="1285">
        <f>E29</f>
        <v>1588.1290439999998</v>
      </c>
      <c r="F28" s="1285">
        <f>F29</f>
        <v>1014.2182811457185</v>
      </c>
      <c r="G28" s="1285">
        <f>G29</f>
        <v>532.82246343515271</v>
      </c>
      <c r="H28" s="1285">
        <f>H29</f>
        <v>41.088299419128688</v>
      </c>
      <c r="J28" s="1156"/>
      <c r="K28" s="1155"/>
    </row>
    <row r="29" spans="1:11" s="100" customFormat="1" ht="15" customHeight="1">
      <c r="A29" s="1122"/>
      <c r="B29" s="1282" t="s">
        <v>735</v>
      </c>
      <c r="C29" s="1283" t="s">
        <v>244</v>
      </c>
      <c r="D29" s="1282" t="s">
        <v>177</v>
      </c>
      <c r="E29" s="1285">
        <f>SUM(F29:H29)</f>
        <v>1588.1290439999998</v>
      </c>
      <c r="F29" s="1285">
        <f>'розр. транспорт. дод4'!F10</f>
        <v>1014.2182811457185</v>
      </c>
      <c r="G29" s="1285">
        <f>'розр. транспорт. дод4'!G10</f>
        <v>532.82246343515271</v>
      </c>
      <c r="H29" s="1285">
        <f>'розр. транспорт. дод4'!H10</f>
        <v>41.088299419128688</v>
      </c>
      <c r="J29" s="1156"/>
      <c r="K29" s="1155"/>
    </row>
    <row r="30" spans="1:11" s="100" customFormat="1" ht="28.5" customHeight="1">
      <c r="A30" s="1122"/>
      <c r="B30" s="1282">
        <v>8</v>
      </c>
      <c r="C30" s="1283" t="s">
        <v>245</v>
      </c>
      <c r="D30" s="1282" t="s">
        <v>177</v>
      </c>
      <c r="E30" s="1286">
        <f>E27-E28</f>
        <v>5569.6134623316138</v>
      </c>
      <c r="F30" s="1286">
        <f>F27-F28</f>
        <v>3556.8921894309387</v>
      </c>
      <c r="G30" s="1286">
        <f>G27-G28</f>
        <v>1868.6234450486641</v>
      </c>
      <c r="H30" s="1286">
        <f>H27-H28</f>
        <v>144.09782785201139</v>
      </c>
      <c r="J30" s="1156"/>
      <c r="K30" s="1155"/>
    </row>
    <row r="31" spans="1:11" s="100" customFormat="1">
      <c r="A31" s="1122"/>
      <c r="B31" s="1282">
        <v>9</v>
      </c>
      <c r="C31" s="1283" t="s">
        <v>246</v>
      </c>
      <c r="D31" s="1282" t="s">
        <v>177</v>
      </c>
      <c r="E31" s="1157">
        <f>SUM(E32:E33)</f>
        <v>1097.56492734878</v>
      </c>
      <c r="F31" s="1157">
        <f>SUM(F32:F33)</f>
        <v>700.93196662267269</v>
      </c>
      <c r="G31" s="1157">
        <f>SUM(G32:G33)</f>
        <v>368.23660557019667</v>
      </c>
      <c r="H31" s="1157">
        <f>SUM(H32:H33)</f>
        <v>28.39635515591069</v>
      </c>
    </row>
    <row r="32" spans="1:11" s="100" customFormat="1">
      <c r="A32" s="1122"/>
      <c r="B32" s="1282" t="s">
        <v>274</v>
      </c>
      <c r="C32" s="1283" t="s">
        <v>232</v>
      </c>
      <c r="D32" s="1282" t="s">
        <v>723</v>
      </c>
      <c r="E32" s="1157">
        <v>0</v>
      </c>
      <c r="F32" s="1157">
        <v>0</v>
      </c>
      <c r="G32" s="1157">
        <v>0</v>
      </c>
      <c r="H32" s="1157">
        <v>0</v>
      </c>
    </row>
    <row r="33" spans="1:11" s="100" customFormat="1">
      <c r="A33" s="1122"/>
      <c r="B33" s="1282" t="s">
        <v>275</v>
      </c>
      <c r="C33" s="1283" t="s">
        <v>233</v>
      </c>
      <c r="D33" s="1282" t="s">
        <v>723</v>
      </c>
      <c r="E33" s="1157">
        <f>SUM(F33:H33)</f>
        <v>1097.56492734878</v>
      </c>
      <c r="F33" s="1157">
        <f>'розр. транспорт. дод4'!F36</f>
        <v>700.93196662267269</v>
      </c>
      <c r="G33" s="1157">
        <f>'розр. транспорт. дод4'!G36</f>
        <v>368.23660557019667</v>
      </c>
      <c r="H33" s="1157">
        <f>'розр. транспорт. дод4'!H36</f>
        <v>28.39635515591069</v>
      </c>
    </row>
    <row r="34" spans="1:11" s="100" customFormat="1">
      <c r="A34" s="1122"/>
      <c r="B34" s="1282">
        <v>10</v>
      </c>
      <c r="C34" s="1283" t="s">
        <v>234</v>
      </c>
      <c r="D34" s="1282" t="s">
        <v>452</v>
      </c>
      <c r="E34" s="1157">
        <f>E28/E8*1000</f>
        <v>132.54290135202803</v>
      </c>
      <c r="F34" s="1157">
        <f>F28/F8*1000</f>
        <v>132.54290135202803</v>
      </c>
      <c r="G34" s="1157">
        <f>G28/G8*1000</f>
        <v>132.54290135202803</v>
      </c>
      <c r="H34" s="1291">
        <f>H28/H8*1000</f>
        <v>132.54290135202803</v>
      </c>
    </row>
    <row r="35" spans="1:11" s="100" customFormat="1">
      <c r="A35" s="1122"/>
      <c r="B35" s="1282" t="s">
        <v>247</v>
      </c>
      <c r="C35" s="1283" t="s">
        <v>279</v>
      </c>
      <c r="D35" s="1282" t="s">
        <v>452</v>
      </c>
      <c r="E35" s="1157">
        <f>E28/E8*1000</f>
        <v>132.54290135202803</v>
      </c>
      <c r="F35" s="1157">
        <f>F28/F8*1000</f>
        <v>132.54290135202803</v>
      </c>
      <c r="G35" s="1157">
        <f>G28/G8*1000</f>
        <v>132.54290135202803</v>
      </c>
      <c r="H35" s="1291">
        <f>H28/H8*1000</f>
        <v>132.54290135202803</v>
      </c>
      <c r="J35" s="1153"/>
    </row>
    <row r="36" spans="1:11" s="100" customFormat="1">
      <c r="A36" s="1122"/>
      <c r="B36" s="1282" t="s">
        <v>248</v>
      </c>
      <c r="C36" s="1283" t="s">
        <v>280</v>
      </c>
      <c r="D36" s="1282" t="s">
        <v>452</v>
      </c>
      <c r="E36" s="1157">
        <f>E32</f>
        <v>0</v>
      </c>
      <c r="F36" s="1157">
        <f>F32</f>
        <v>0</v>
      </c>
      <c r="G36" s="1157">
        <f>G32</f>
        <v>0</v>
      </c>
      <c r="H36" s="1157">
        <f>H32</f>
        <v>0</v>
      </c>
    </row>
    <row r="37" spans="1:11" s="100" customFormat="1" ht="25.5">
      <c r="A37" s="1122"/>
      <c r="B37" s="1282">
        <v>11</v>
      </c>
      <c r="C37" s="1283" t="s">
        <v>237</v>
      </c>
      <c r="D37" s="1282" t="s">
        <v>238</v>
      </c>
      <c r="E37" s="1287">
        <f>E38+E39</f>
        <v>74020.543450577243</v>
      </c>
      <c r="F37" s="1287">
        <f>F38+F39</f>
        <v>91945.757883165134</v>
      </c>
      <c r="G37" s="1287">
        <f>G38+G39</f>
        <v>61438.696182675805</v>
      </c>
      <c r="H37" s="1287">
        <f>H38+H39</f>
        <v>23449.453916248247</v>
      </c>
    </row>
    <row r="38" spans="1:11" s="100" customFormat="1">
      <c r="A38" s="1122"/>
      <c r="B38" s="1282" t="s">
        <v>249</v>
      </c>
      <c r="C38" s="1283" t="s">
        <v>282</v>
      </c>
      <c r="D38" s="1282" t="s">
        <v>238</v>
      </c>
      <c r="E38" s="1157">
        <f>E30/E9/12*1000</f>
        <v>61835.125925166685</v>
      </c>
      <c r="F38" s="1157">
        <f>F30/F9/12*1000</f>
        <v>76809.45386177201</v>
      </c>
      <c r="G38" s="1157">
        <f>G30/G9/12*1000</f>
        <v>51324.528813685567</v>
      </c>
      <c r="H38" s="1157">
        <f>H30/H9/12*1000</f>
        <v>19589.15549918589</v>
      </c>
    </row>
    <row r="39" spans="1:11" s="100" customFormat="1" ht="14.25" customHeight="1">
      <c r="A39" s="1122"/>
      <c r="B39" s="1282" t="s">
        <v>250</v>
      </c>
      <c r="C39" s="1283" t="s">
        <v>281</v>
      </c>
      <c r="D39" s="1282" t="s">
        <v>241</v>
      </c>
      <c r="E39" s="1157">
        <f>E33/E9/12*1000</f>
        <v>12185.417525410559</v>
      </c>
      <c r="F39" s="1157">
        <f>F33/F9/12*1000</f>
        <v>15136.304021393124</v>
      </c>
      <c r="G39" s="1157">
        <f>G33/G9/12*1000</f>
        <v>10114.167368990242</v>
      </c>
      <c r="H39" s="1157">
        <f>H33/H9/12*1000</f>
        <v>3860.2984170623558</v>
      </c>
    </row>
    <row r="40" spans="1:11" s="100" customFormat="1">
      <c r="A40" s="1122"/>
      <c r="B40" s="1282" t="s">
        <v>578</v>
      </c>
      <c r="C40" s="1419" t="s">
        <v>251</v>
      </c>
      <c r="D40" s="1419"/>
      <c r="E40" s="1419"/>
      <c r="F40" s="1419"/>
      <c r="G40" s="1419"/>
      <c r="H40" s="1419"/>
    </row>
    <row r="41" spans="1:11" s="100" customFormat="1">
      <c r="A41" s="1122"/>
      <c r="B41" s="1282">
        <v>12</v>
      </c>
      <c r="C41" s="1288" t="s">
        <v>252</v>
      </c>
      <c r="D41" s="1289" t="s">
        <v>723</v>
      </c>
      <c r="E41" s="1290">
        <f>SUM(F41:H41)</f>
        <v>1031.6284205188847</v>
      </c>
      <c r="F41" s="1290">
        <f>'розр. пост. дод.5'!F29</f>
        <v>658.82329108750673</v>
      </c>
      <c r="G41" s="1290">
        <f>'розр. пост. дод.5'!G29</f>
        <v>346.11469291319617</v>
      </c>
      <c r="H41" s="1290">
        <f>'розр. пост. дод.5'!H29</f>
        <v>26.690436518181798</v>
      </c>
      <c r="J41" s="1156"/>
      <c r="K41" s="1155"/>
    </row>
    <row r="42" spans="1:11" s="100" customFormat="1">
      <c r="A42" s="1122"/>
      <c r="B42" s="1282">
        <v>13</v>
      </c>
      <c r="C42" s="1288" t="s">
        <v>253</v>
      </c>
      <c r="D42" s="1289" t="s">
        <v>723</v>
      </c>
      <c r="E42" s="1291">
        <f>SUM(F42:H42)</f>
        <v>50.310454811864972</v>
      </c>
      <c r="F42" s="1291">
        <f>'розр. пост. дод.5'!F31</f>
        <v>32.129494259755532</v>
      </c>
      <c r="G42" s="1291">
        <f>'розр. пост. дод.5'!G31</f>
        <v>16.879321343990753</v>
      </c>
      <c r="H42" s="1291">
        <f>'розр. пост. дод.5'!H31</f>
        <v>1.30163920811869</v>
      </c>
      <c r="J42" s="1153"/>
    </row>
    <row r="43" spans="1:11" s="100" customFormat="1" ht="25.5">
      <c r="A43" s="1122"/>
      <c r="B43" s="1282">
        <v>14</v>
      </c>
      <c r="C43" s="1283" t="s">
        <v>254</v>
      </c>
      <c r="D43" s="1282" t="s">
        <v>238</v>
      </c>
      <c r="E43" s="1157">
        <f>E44+E45</f>
        <v>12011.933512420615</v>
      </c>
      <c r="F43" s="1157">
        <f>F44+F45</f>
        <v>14920.808183192154</v>
      </c>
      <c r="G43" s="1157">
        <f>G44+G45</f>
        <v>9970.1717824979933</v>
      </c>
      <c r="H43" s="1157">
        <f>H44+H45</f>
        <v>3805.3392776373694</v>
      </c>
    </row>
    <row r="44" spans="1:11" s="100" customFormat="1" ht="13.5" customHeight="1">
      <c r="A44" s="1122"/>
      <c r="B44" s="1282" t="s">
        <v>135</v>
      </c>
      <c r="C44" s="1283" t="s">
        <v>283</v>
      </c>
      <c r="D44" s="1282" t="s">
        <v>238</v>
      </c>
      <c r="E44" s="1157">
        <f>E41/E9/12*1000</f>
        <v>11453.375305520969</v>
      </c>
      <c r="F44" s="1157">
        <f>F41/F9/12*1000</f>
        <v>14226.986505301606</v>
      </c>
      <c r="G44" s="1157">
        <f>G41/G9/12*1000</f>
        <v>9506.5560567236917</v>
      </c>
      <c r="H44" s="1157">
        <f>H41/H9/12*1000</f>
        <v>3628.3899562509241</v>
      </c>
    </row>
    <row r="45" spans="1:11" s="100" customFormat="1" ht="15.75" customHeight="1">
      <c r="A45" s="1122"/>
      <c r="B45" s="1282" t="s">
        <v>136</v>
      </c>
      <c r="C45" s="1283" t="s">
        <v>284</v>
      </c>
      <c r="D45" s="1282" t="s">
        <v>238</v>
      </c>
      <c r="E45" s="1157">
        <f>E42/E9/12*1000</f>
        <v>558.55820689964662</v>
      </c>
      <c r="F45" s="1157">
        <f>F42/F9/12*1000</f>
        <v>693.82167789054881</v>
      </c>
      <c r="G45" s="1157">
        <f>G42/G9/12*1000</f>
        <v>463.61572577430104</v>
      </c>
      <c r="H45" s="1157">
        <f>H42/H9/12*1000</f>
        <v>176.94932138644506</v>
      </c>
    </row>
    <row r="46" spans="1:11" s="100" customFormat="1">
      <c r="A46" s="1122"/>
      <c r="B46" s="1282" t="s">
        <v>578</v>
      </c>
      <c r="C46" s="1418" t="s">
        <v>257</v>
      </c>
      <c r="D46" s="1418"/>
      <c r="E46" s="1418"/>
      <c r="F46" s="1418"/>
      <c r="G46" s="1418"/>
      <c r="H46" s="1418"/>
      <c r="J46" s="1153"/>
      <c r="K46" s="1155"/>
    </row>
    <row r="47" spans="1:11" s="100" customFormat="1">
      <c r="A47" s="1122"/>
      <c r="B47" s="1282">
        <v>15</v>
      </c>
      <c r="C47" s="1283" t="s">
        <v>258</v>
      </c>
      <c r="D47" s="1282" t="s">
        <v>452</v>
      </c>
      <c r="E47" s="1157">
        <f t="shared" ref="E47:H49" si="0">E20+E34</f>
        <v>1875.438746761421</v>
      </c>
      <c r="F47" s="1157">
        <f t="shared" si="0"/>
        <v>1447.3338935833458</v>
      </c>
      <c r="G47" s="1157">
        <f t="shared" si="0"/>
        <v>2631.9880161652627</v>
      </c>
      <c r="H47" s="1157">
        <f t="shared" si="0"/>
        <v>2631.9880161652627</v>
      </c>
      <c r="K47" s="1158"/>
    </row>
    <row r="48" spans="1:11" s="100" customFormat="1">
      <c r="A48" s="1122"/>
      <c r="B48" s="1282" t="s">
        <v>255</v>
      </c>
      <c r="C48" s="1283" t="s">
        <v>286</v>
      </c>
      <c r="D48" s="1282" t="s">
        <v>452</v>
      </c>
      <c r="E48" s="1157">
        <f t="shared" si="0"/>
        <v>1875.438746761421</v>
      </c>
      <c r="F48" s="1157">
        <f t="shared" si="0"/>
        <v>1447.3338935833458</v>
      </c>
      <c r="G48" s="1157">
        <f t="shared" si="0"/>
        <v>2631.9880161652627</v>
      </c>
      <c r="H48" s="1157">
        <f t="shared" si="0"/>
        <v>2631.9880161652627</v>
      </c>
    </row>
    <row r="49" spans="1:12" s="100" customFormat="1">
      <c r="A49" s="1122"/>
      <c r="B49" s="1282" t="s">
        <v>256</v>
      </c>
      <c r="C49" s="1283" t="s">
        <v>285</v>
      </c>
      <c r="D49" s="1282" t="s">
        <v>452</v>
      </c>
      <c r="E49" s="1157">
        <f t="shared" si="0"/>
        <v>0</v>
      </c>
      <c r="F49" s="1157">
        <f t="shared" si="0"/>
        <v>0</v>
      </c>
      <c r="G49" s="1157">
        <f t="shared" si="0"/>
        <v>0</v>
      </c>
      <c r="H49" s="1157">
        <f t="shared" si="0"/>
        <v>0</v>
      </c>
    </row>
    <row r="50" spans="1:12" s="100" customFormat="1" ht="25.5">
      <c r="A50" s="1122"/>
      <c r="B50" s="1292">
        <v>16</v>
      </c>
      <c r="C50" s="1283" t="s">
        <v>287</v>
      </c>
      <c r="D50" s="1282" t="s">
        <v>238</v>
      </c>
      <c r="E50" s="1157">
        <f t="shared" ref="E50:H52" si="1">E23+E37+E43</f>
        <v>175691.37555809645</v>
      </c>
      <c r="F50" s="1157">
        <f t="shared" si="1"/>
        <v>214787.8672536634</v>
      </c>
      <c r="G50" s="1157">
        <f t="shared" si="1"/>
        <v>149901.56231934024</v>
      </c>
      <c r="H50" s="1157">
        <f t="shared" si="1"/>
        <v>57213.287325133002</v>
      </c>
      <c r="J50" s="1159"/>
      <c r="K50" s="1159"/>
    </row>
    <row r="51" spans="1:12" s="100" customFormat="1" ht="16.5" customHeight="1">
      <c r="A51" s="1122"/>
      <c r="B51" s="1282" t="s">
        <v>276</v>
      </c>
      <c r="C51" s="1283" t="s">
        <v>288</v>
      </c>
      <c r="D51" s="1282" t="s">
        <v>238</v>
      </c>
      <c r="E51" s="1157">
        <f t="shared" si="1"/>
        <v>147997.05233781564</v>
      </c>
      <c r="F51" s="1157">
        <f t="shared" si="1"/>
        <v>183836.81755539443</v>
      </c>
      <c r="G51" s="1157">
        <f t="shared" si="1"/>
        <v>122840.84269910495</v>
      </c>
      <c r="H51" s="1157">
        <f t="shared" si="1"/>
        <v>46884.957834082488</v>
      </c>
      <c r="J51" s="1160"/>
      <c r="L51" s="1161"/>
    </row>
    <row r="52" spans="1:12" s="100" customFormat="1" ht="15.75" customHeight="1">
      <c r="A52" s="1122"/>
      <c r="B52" s="1282" t="s">
        <v>260</v>
      </c>
      <c r="C52" s="1283" t="s">
        <v>289</v>
      </c>
      <c r="D52" s="1282" t="s">
        <v>238</v>
      </c>
      <c r="E52" s="1157">
        <f t="shared" si="1"/>
        <v>27694.32322028081</v>
      </c>
      <c r="F52" s="1157">
        <f t="shared" si="1"/>
        <v>30951.049698268958</v>
      </c>
      <c r="G52" s="1157">
        <f t="shared" si="1"/>
        <v>27060.719620235308</v>
      </c>
      <c r="H52" s="1157">
        <f t="shared" si="1"/>
        <v>10328.329491050505</v>
      </c>
    </row>
    <row r="53" spans="1:12" s="100" customFormat="1">
      <c r="A53" s="1122"/>
      <c r="B53" s="1282">
        <v>17</v>
      </c>
      <c r="C53" s="1162" t="s">
        <v>259</v>
      </c>
      <c r="D53" s="1282"/>
      <c r="E53" s="1293"/>
      <c r="F53" s="1293"/>
      <c r="G53" s="1293"/>
      <c r="H53" s="1293"/>
    </row>
    <row r="54" spans="1:12" s="100" customFormat="1">
      <c r="A54" s="1122"/>
      <c r="B54" s="1282" t="s">
        <v>277</v>
      </c>
      <c r="C54" s="1283" t="s">
        <v>261</v>
      </c>
      <c r="D54" s="1282" t="s">
        <v>452</v>
      </c>
      <c r="E54" s="1291">
        <f>E47*1.2</f>
        <v>2250.526496113705</v>
      </c>
      <c r="F54" s="1291">
        <f>F47*1.2</f>
        <v>1736.8006723000149</v>
      </c>
      <c r="G54" s="1291">
        <f>G47*1.2</f>
        <v>3158.3856193983152</v>
      </c>
      <c r="H54" s="1291">
        <f>H47*1.2</f>
        <v>3158.3856193983152</v>
      </c>
    </row>
    <row r="55" spans="1:12" s="100" customFormat="1">
      <c r="A55" s="1122"/>
      <c r="B55" s="1282" t="s">
        <v>278</v>
      </c>
      <c r="C55" s="1283" t="s">
        <v>262</v>
      </c>
      <c r="D55" s="1282" t="s">
        <v>238</v>
      </c>
      <c r="E55" s="1157">
        <f>E50*1.2</f>
        <v>210829.65066971575</v>
      </c>
      <c r="F55" s="1157">
        <f>F50*1.2</f>
        <v>257745.44070439605</v>
      </c>
      <c r="G55" s="1157">
        <f>G50*1.2</f>
        <v>179881.87478320827</v>
      </c>
      <c r="H55" s="1157">
        <f>H50*1.2</f>
        <v>68655.9447901596</v>
      </c>
    </row>
    <row r="56" spans="1:12" s="100" customFormat="1">
      <c r="A56" s="1122"/>
      <c r="B56" s="1163"/>
      <c r="C56" s="1164"/>
      <c r="D56" s="1163"/>
      <c r="E56" s="1165"/>
      <c r="F56" s="1166"/>
      <c r="G56" s="1166"/>
      <c r="H56" s="1166"/>
    </row>
    <row r="57" spans="1:12">
      <c r="B57" s="1167"/>
      <c r="C57" s="1168"/>
      <c r="D57" s="1168"/>
      <c r="E57" s="1168"/>
      <c r="F57" s="1168"/>
      <c r="G57" s="1169"/>
      <c r="H57" s="1170"/>
    </row>
    <row r="58" spans="1:12">
      <c r="B58" s="1167"/>
      <c r="C58" s="1168" t="s">
        <v>368</v>
      </c>
      <c r="D58" s="1168"/>
      <c r="E58" s="1168"/>
      <c r="F58" s="1168"/>
      <c r="G58" s="1420" t="s">
        <v>369</v>
      </c>
      <c r="H58" s="1420"/>
    </row>
    <row r="59" spans="1:12">
      <c r="B59" s="1167"/>
      <c r="C59" s="1168"/>
      <c r="D59" s="1168"/>
      <c r="E59" s="1168"/>
      <c r="F59" s="1168"/>
      <c r="G59" s="1169"/>
      <c r="H59" s="1170"/>
    </row>
    <row r="60" spans="1:12">
      <c r="B60" s="1167"/>
      <c r="C60" s="1168"/>
      <c r="D60" s="1168"/>
      <c r="E60" s="1168"/>
      <c r="F60" s="1168"/>
      <c r="G60" s="1169"/>
      <c r="H60" s="1170"/>
    </row>
    <row r="61" spans="1:12">
      <c r="B61" s="1167"/>
      <c r="C61" s="1168"/>
      <c r="D61" s="1168"/>
      <c r="E61" s="1168"/>
      <c r="F61" s="1168"/>
      <c r="G61" s="1169"/>
      <c r="H61" s="1170"/>
    </row>
    <row r="62" spans="1:12">
      <c r="E62" s="1170"/>
      <c r="F62" s="1169"/>
      <c r="G62" s="1169"/>
      <c r="H62" s="1170"/>
    </row>
    <row r="63" spans="1:12" s="662" customFormat="1" ht="15.75">
      <c r="A63" s="1085"/>
      <c r="B63" s="1141"/>
      <c r="C63" s="1421"/>
      <c r="D63" s="1421"/>
      <c r="E63" s="1170"/>
      <c r="F63" s="1169"/>
      <c r="G63" s="1169"/>
      <c r="H63" s="1141"/>
    </row>
    <row r="64" spans="1:12">
      <c r="E64" s="1170"/>
      <c r="F64" s="1170"/>
      <c r="G64" s="1170"/>
    </row>
    <row r="65" spans="3:7">
      <c r="C65" s="1078"/>
      <c r="E65" s="1170"/>
      <c r="F65" s="1170"/>
      <c r="G65" s="1170"/>
    </row>
    <row r="66" spans="3:7">
      <c r="E66" s="1170"/>
      <c r="F66" s="1170"/>
      <c r="G66" s="1170"/>
    </row>
    <row r="67" spans="3:7">
      <c r="E67" s="1170"/>
      <c r="F67" s="1170"/>
      <c r="G67" s="1170"/>
    </row>
    <row r="68" spans="3:7" ht="15.75">
      <c r="E68" s="1417"/>
      <c r="F68" s="1417"/>
      <c r="G68" s="1141"/>
    </row>
    <row r="69" spans="3:7">
      <c r="F69" s="1171"/>
    </row>
    <row r="70" spans="3:7">
      <c r="E70" s="1171"/>
      <c r="F70" s="1171"/>
    </row>
    <row r="71" spans="3:7">
      <c r="F71" s="1171"/>
    </row>
    <row r="72" spans="3:7">
      <c r="F72" s="1171"/>
    </row>
  </sheetData>
  <mergeCells count="14">
    <mergeCell ref="C10:H10"/>
    <mergeCell ref="B2:H2"/>
    <mergeCell ref="B3:H3"/>
    <mergeCell ref="B5:B6"/>
    <mergeCell ref="C5:C6"/>
    <mergeCell ref="D5:D6"/>
    <mergeCell ref="E5:E6"/>
    <mergeCell ref="F5:H5"/>
    <mergeCell ref="E68:F68"/>
    <mergeCell ref="C26:H26"/>
    <mergeCell ref="C40:H40"/>
    <mergeCell ref="C46:H46"/>
    <mergeCell ref="G58:H58"/>
    <mergeCell ref="C63:D63"/>
  </mergeCells>
  <phoneticPr fontId="51" type="noConversion"/>
  <pageMargins left="0.59" right="0.11811023622047245" top="0" bottom="0.83" header="0.31496062992125984" footer="0.67"/>
  <pageSetup paperSize="9" scale="84" orientation="landscape" r:id="rId1"/>
  <rowBreaks count="1" manualBreakCount="1">
    <brk id="39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N28"/>
  <sheetViews>
    <sheetView topLeftCell="C1" zoomScaleSheetLayoutView="100" workbookViewId="0">
      <selection activeCell="G4" sqref="G4:O21"/>
    </sheetView>
  </sheetViews>
  <sheetFormatPr defaultRowHeight="12.75"/>
  <cols>
    <col min="1" max="1" width="39.42578125" style="5" customWidth="1"/>
    <col min="2" max="2" width="15.7109375" style="5" customWidth="1"/>
    <col min="3" max="3" width="15.140625" style="5" customWidth="1"/>
    <col min="4" max="4" width="12.42578125" style="5" customWidth="1"/>
    <col min="5" max="5" width="15.42578125" style="5" customWidth="1"/>
    <col min="6" max="6" width="12" style="5" customWidth="1"/>
    <col min="7" max="7" width="10.7109375" style="57" customWidth="1"/>
    <col min="8" max="8" width="13.5703125" style="5" customWidth="1"/>
    <col min="9" max="9" width="15.85546875" style="5" customWidth="1"/>
    <col min="10" max="10" width="12.85546875" style="5" customWidth="1"/>
    <col min="11" max="11" width="9.140625" style="5"/>
    <col min="12" max="12" width="8.5703125" style="5" customWidth="1"/>
    <col min="13" max="13" width="10.85546875" style="5" customWidth="1"/>
    <col min="14" max="14" width="9.85546875" style="5" bestFit="1" customWidth="1"/>
    <col min="15" max="16384" width="9.140625" style="5"/>
  </cols>
  <sheetData>
    <row r="1" spans="1:13" ht="35.25" customHeight="1">
      <c r="E1" s="1488" t="s">
        <v>197</v>
      </c>
      <c r="F1" s="1488"/>
    </row>
    <row r="2" spans="1:13" s="23" customFormat="1" ht="23.25" customHeight="1">
      <c r="A2" s="1490" t="s">
        <v>936</v>
      </c>
      <c r="B2" s="1490"/>
      <c r="C2" s="1490"/>
      <c r="D2" s="1490"/>
      <c r="E2" s="1490"/>
      <c r="F2" s="1490"/>
      <c r="G2" s="56"/>
    </row>
    <row r="3" spans="1:13" s="23" customFormat="1">
      <c r="A3" s="1490"/>
      <c r="B3" s="1490"/>
      <c r="C3" s="1490"/>
      <c r="D3" s="1490"/>
      <c r="E3" s="1490"/>
      <c r="F3" s="1490"/>
      <c r="G3" s="56"/>
    </row>
    <row r="4" spans="1:13" s="23" customFormat="1" ht="18.75" customHeight="1" thickBot="1">
      <c r="A4" s="1498"/>
      <c r="B4" s="1498"/>
      <c r="C4" s="1498"/>
      <c r="D4" s="1498"/>
      <c r="E4" s="1498"/>
      <c r="F4" s="1498"/>
      <c r="G4" s="56"/>
      <c r="I4" s="1327" t="s">
        <v>309</v>
      </c>
    </row>
    <row r="5" spans="1:13" s="23" customFormat="1" ht="29.25" customHeight="1" thickBot="1">
      <c r="A5" s="1491" t="s">
        <v>701</v>
      </c>
      <c r="B5" s="1493" t="s">
        <v>395</v>
      </c>
      <c r="C5" s="1493" t="s">
        <v>351</v>
      </c>
      <c r="D5" s="1495" t="s">
        <v>505</v>
      </c>
      <c r="E5" s="1496"/>
      <c r="F5" s="1497"/>
      <c r="G5" s="56"/>
      <c r="I5" s="1376" t="s">
        <v>922</v>
      </c>
      <c r="J5" s="671">
        <v>5374.1</v>
      </c>
    </row>
    <row r="6" spans="1:13" s="23" customFormat="1" ht="30">
      <c r="A6" s="1492"/>
      <c r="B6" s="1494"/>
      <c r="C6" s="1494"/>
      <c r="D6" s="507" t="s">
        <v>698</v>
      </c>
      <c r="E6" s="106" t="s">
        <v>495</v>
      </c>
      <c r="F6" s="508" t="s">
        <v>499</v>
      </c>
      <c r="G6" s="56"/>
      <c r="I6" s="1376" t="s">
        <v>923</v>
      </c>
      <c r="J6" s="1326">
        <v>5375.37</v>
      </c>
    </row>
    <row r="7" spans="1:13" s="23" customFormat="1" ht="39.6" customHeight="1">
      <c r="A7" s="717" t="s">
        <v>939</v>
      </c>
      <c r="B7" s="764" t="s">
        <v>398</v>
      </c>
      <c r="C7" s="663">
        <v>13463</v>
      </c>
      <c r="D7" s="623">
        <f>C27</f>
        <v>8597.8030378901676</v>
      </c>
      <c r="E7" s="623">
        <f>D27</f>
        <v>4516.8803204807209</v>
      </c>
      <c r="F7" s="623">
        <f>E27</f>
        <v>348.31664162911034</v>
      </c>
      <c r="G7" s="296"/>
      <c r="I7" s="1376" t="s">
        <v>924</v>
      </c>
      <c r="J7" s="1326">
        <v>6103.1</v>
      </c>
    </row>
    <row r="8" spans="1:13" s="23" customFormat="1" ht="35.25" customHeight="1">
      <c r="A8" s="625" t="s">
        <v>747</v>
      </c>
      <c r="B8" s="765" t="s">
        <v>501</v>
      </c>
      <c r="C8" s="622">
        <v>194.1</v>
      </c>
      <c r="D8" s="622">
        <v>194.1</v>
      </c>
      <c r="E8" s="622">
        <v>194.1</v>
      </c>
      <c r="F8" s="622">
        <v>194.1</v>
      </c>
      <c r="G8" s="296"/>
      <c r="I8" s="1376" t="s">
        <v>925</v>
      </c>
      <c r="J8" s="671">
        <v>7331.45</v>
      </c>
    </row>
    <row r="9" spans="1:13" s="23" customFormat="1" ht="24.75" customHeight="1">
      <c r="A9" s="626" t="s">
        <v>746</v>
      </c>
      <c r="B9" s="766" t="s">
        <v>500</v>
      </c>
      <c r="C9" s="621">
        <f>SUM(D9:F9)</f>
        <v>2613.1682999999998</v>
      </c>
      <c r="D9" s="621">
        <f>D7*D8/1000</f>
        <v>1668.8335696544814</v>
      </c>
      <c r="E9" s="621">
        <f>E7*E8/1000</f>
        <v>876.72647020530792</v>
      </c>
      <c r="F9" s="621">
        <f>F7*F8/1000</f>
        <v>67.608260140210319</v>
      </c>
      <c r="G9" s="68"/>
      <c r="I9" s="1376" t="s">
        <v>926</v>
      </c>
      <c r="J9" s="1326">
        <v>6841.15</v>
      </c>
    </row>
    <row r="10" spans="1:13" s="23" customFormat="1" ht="36.75" customHeight="1">
      <c r="A10" s="625" t="s">
        <v>930</v>
      </c>
      <c r="B10" s="767" t="s">
        <v>929</v>
      </c>
      <c r="C10" s="762">
        <v>8050</v>
      </c>
      <c r="D10" s="762">
        <v>8050</v>
      </c>
      <c r="E10" s="762">
        <v>8050</v>
      </c>
      <c r="F10" s="762">
        <v>8050</v>
      </c>
      <c r="G10" s="307"/>
      <c r="H10" s="23" t="s">
        <v>997</v>
      </c>
      <c r="I10" s="1376" t="s">
        <v>927</v>
      </c>
      <c r="J10" s="671">
        <v>6279.77</v>
      </c>
    </row>
    <row r="11" spans="1:13" s="23" customFormat="1" ht="28.5" customHeight="1">
      <c r="A11" s="627" t="s">
        <v>1003</v>
      </c>
      <c r="B11" s="768" t="s">
        <v>399</v>
      </c>
      <c r="C11" s="623">
        <f>SUM(D11:F11)</f>
        <v>2272.3202608695651</v>
      </c>
      <c r="D11" s="623">
        <f>D9*(7000/D10)</f>
        <v>1451.1596257865056</v>
      </c>
      <c r="E11" s="623">
        <f>E9*(7000/E10)</f>
        <v>762.37084365678948</v>
      </c>
      <c r="F11" s="623">
        <f>F9*(7000/F10)</f>
        <v>58.789791426269844</v>
      </c>
      <c r="G11" s="68"/>
      <c r="I11" s="1377" t="s">
        <v>928</v>
      </c>
      <c r="J11" s="671">
        <v>6522.86</v>
      </c>
    </row>
    <row r="12" spans="1:13" s="23" customFormat="1" ht="30" customHeight="1">
      <c r="A12" s="625" t="s">
        <v>999</v>
      </c>
      <c r="B12" s="769" t="s">
        <v>504</v>
      </c>
      <c r="C12" s="622">
        <f>C13/C11*1000</f>
        <v>8440.7373026205969</v>
      </c>
      <c r="D12" s="622">
        <v>6183.33</v>
      </c>
      <c r="E12" s="622">
        <v>12430.04</v>
      </c>
      <c r="F12" s="622">
        <v>12430.04</v>
      </c>
      <c r="G12" s="68"/>
      <c r="I12" s="1328"/>
      <c r="J12" s="1334">
        <f>AVERAGE(J5:J11)</f>
        <v>6261.1142857142859</v>
      </c>
    </row>
    <row r="13" spans="1:13" s="23" customFormat="1" ht="30" customHeight="1">
      <c r="A13" s="624" t="s">
        <v>506</v>
      </c>
      <c r="B13" s="768" t="s">
        <v>692</v>
      </c>
      <c r="C13" s="623">
        <f>SUM(D13:F13)</f>
        <v>19180.058389422305</v>
      </c>
      <c r="D13" s="623">
        <f>D11*D12/1000</f>
        <v>8972.9988489144725</v>
      </c>
      <c r="E13" s="623">
        <f>E11*E12/1000</f>
        <v>9476.3000814876414</v>
      </c>
      <c r="F13" s="623">
        <f>F11*F12/1000</f>
        <v>730.75945902019123</v>
      </c>
      <c r="G13" s="68"/>
    </row>
    <row r="14" spans="1:13" s="23" customFormat="1" ht="33.75" customHeight="1">
      <c r="A14" s="772" t="s">
        <v>934</v>
      </c>
      <c r="B14" s="769" t="s">
        <v>504</v>
      </c>
      <c r="C14" s="781">
        <v>136.58000000000001</v>
      </c>
      <c r="D14" s="781">
        <f>C14</f>
        <v>136.58000000000001</v>
      </c>
      <c r="E14" s="781">
        <f>C14</f>
        <v>136.58000000000001</v>
      </c>
      <c r="F14" s="781">
        <f>C14</f>
        <v>136.58000000000001</v>
      </c>
      <c r="G14" s="68"/>
      <c r="H14" s="1336" t="s">
        <v>312</v>
      </c>
      <c r="I14" s="1337" t="s">
        <v>313</v>
      </c>
      <c r="J14" s="1337" t="s">
        <v>316</v>
      </c>
      <c r="K14" s="1336" t="s">
        <v>315</v>
      </c>
      <c r="L14" s="1336" t="s">
        <v>308</v>
      </c>
      <c r="M14" s="1336" t="s">
        <v>314</v>
      </c>
    </row>
    <row r="15" spans="1:13" s="23" customFormat="1" ht="35.25" customHeight="1">
      <c r="A15" s="773" t="s">
        <v>931</v>
      </c>
      <c r="B15" s="770" t="s">
        <v>692</v>
      </c>
      <c r="C15" s="763">
        <f>SUM(D15:F15)</f>
        <v>310.35350122956515</v>
      </c>
      <c r="D15" s="763">
        <f>D11*D14/1000</f>
        <v>198.19938168992093</v>
      </c>
      <c r="E15" s="763">
        <f>E11*E14/1000</f>
        <v>104.12460982664432</v>
      </c>
      <c r="F15" s="763">
        <f>F11*F14/1000</f>
        <v>8.0295097129999355</v>
      </c>
      <c r="G15" s="68"/>
      <c r="H15" s="1335" t="s">
        <v>307</v>
      </c>
      <c r="I15" s="1330">
        <v>0</v>
      </c>
      <c r="J15" s="1330">
        <v>0</v>
      </c>
      <c r="K15" s="1333">
        <v>480</v>
      </c>
      <c r="L15" s="1333">
        <v>3</v>
      </c>
      <c r="M15" s="1333">
        <f>J15*K15/1000*L15</f>
        <v>0</v>
      </c>
    </row>
    <row r="16" spans="1:13" s="23" customFormat="1" ht="35.25" customHeight="1">
      <c r="A16" s="774" t="s">
        <v>334</v>
      </c>
      <c r="B16" s="778" t="s">
        <v>399</v>
      </c>
      <c r="C16" s="779">
        <f>C11</f>
        <v>2272.3202608695651</v>
      </c>
      <c r="D16" s="779">
        <f>D11</f>
        <v>1451.1596257865056</v>
      </c>
      <c r="E16" s="779">
        <f>E11</f>
        <v>762.37084365678948</v>
      </c>
      <c r="F16" s="779">
        <f>F11</f>
        <v>58.789791426269844</v>
      </c>
      <c r="G16" s="68"/>
      <c r="H16" s="1335" t="s">
        <v>333</v>
      </c>
      <c r="I16" s="1332">
        <v>2339666</v>
      </c>
      <c r="J16" s="1330">
        <f>I16/12</f>
        <v>194972.16666666666</v>
      </c>
      <c r="K16" s="1333">
        <v>540</v>
      </c>
      <c r="L16" s="1333">
        <v>12</v>
      </c>
      <c r="M16" s="1333">
        <f>J16*K16/1000*L16</f>
        <v>1263419.6400000001</v>
      </c>
    </row>
    <row r="17" spans="1:14" s="23" customFormat="1" ht="35.25" customHeight="1">
      <c r="A17" s="774" t="s">
        <v>998</v>
      </c>
      <c r="B17" s="769" t="s">
        <v>504</v>
      </c>
      <c r="C17" s="1378">
        <v>556</v>
      </c>
      <c r="D17" s="1378">
        <f>C17</f>
        <v>556</v>
      </c>
      <c r="E17" s="1378">
        <f>C17</f>
        <v>556</v>
      </c>
      <c r="F17" s="1378">
        <f>C17</f>
        <v>556</v>
      </c>
      <c r="G17" s="68"/>
      <c r="H17" s="1335" t="s">
        <v>310</v>
      </c>
      <c r="I17" s="1329"/>
      <c r="J17" s="1331"/>
      <c r="K17" s="1333"/>
      <c r="L17" s="1333"/>
      <c r="M17" s="1338">
        <f>M15+M16</f>
        <v>1263419.6400000001</v>
      </c>
    </row>
    <row r="18" spans="1:14" ht="30" customHeight="1">
      <c r="A18" s="717" t="s">
        <v>932</v>
      </c>
      <c r="B18" s="768" t="s">
        <v>692</v>
      </c>
      <c r="C18" s="623">
        <f>SUM(D18:F18)</f>
        <v>1263.410065043478</v>
      </c>
      <c r="D18" s="623">
        <f>D16*D17/1000</f>
        <v>806.84475193729702</v>
      </c>
      <c r="E18" s="623">
        <f>E16*E17/1000</f>
        <v>423.87818907317495</v>
      </c>
      <c r="F18" s="623">
        <f>F16*F17/1000</f>
        <v>32.687124033006029</v>
      </c>
      <c r="H18" s="1335" t="s">
        <v>335</v>
      </c>
      <c r="I18" s="1248"/>
      <c r="J18" s="1245"/>
      <c r="K18" s="1248"/>
      <c r="L18" s="1248"/>
      <c r="M18" s="1245">
        <f>C11</f>
        <v>2272.3202608695651</v>
      </c>
      <c r="N18" s="23"/>
    </row>
    <row r="19" spans="1:14" ht="33.75" customHeight="1">
      <c r="A19" s="780" t="s">
        <v>933</v>
      </c>
      <c r="B19" s="768" t="s">
        <v>692</v>
      </c>
      <c r="C19" s="775">
        <f>SUM(D19:F19)</f>
        <v>20753.821955695345</v>
      </c>
      <c r="D19" s="775">
        <f>D13+D15+D18</f>
        <v>9978.0429825416904</v>
      </c>
      <c r="E19" s="775">
        <f>E13+E15+E18</f>
        <v>10004.30288038746</v>
      </c>
      <c r="F19" s="775">
        <f>F13+F15+F18</f>
        <v>771.47609276619721</v>
      </c>
      <c r="H19" s="1335" t="s">
        <v>311</v>
      </c>
      <c r="I19" s="1248"/>
      <c r="J19" s="1248"/>
      <c r="K19" s="1248"/>
      <c r="L19" s="1248"/>
      <c r="M19" s="1339">
        <f>M17/M18</f>
        <v>556.00421373548738</v>
      </c>
    </row>
    <row r="20" spans="1:14" ht="24" customHeight="1">
      <c r="H20" s="12"/>
      <c r="N20" s="5">
        <v>2385.8240000000001</v>
      </c>
    </row>
    <row r="21" spans="1:14" s="619" customFormat="1" ht="54.75" customHeight="1">
      <c r="A21" s="619" t="s">
        <v>368</v>
      </c>
      <c r="D21" s="1489" t="s">
        <v>369</v>
      </c>
      <c r="E21" s="1489"/>
      <c r="H21" s="620"/>
      <c r="N21" s="914">
        <f>N19/N20</f>
        <v>0</v>
      </c>
    </row>
    <row r="22" spans="1:14">
      <c r="H22" s="12"/>
    </row>
    <row r="23" spans="1:14">
      <c r="H23" s="12"/>
    </row>
    <row r="24" spans="1:14" ht="15">
      <c r="A24" s="1411" t="s">
        <v>701</v>
      </c>
      <c r="B24" s="1412" t="s">
        <v>994</v>
      </c>
      <c r="C24" s="1412" t="s">
        <v>611</v>
      </c>
      <c r="D24" s="1412" t="s">
        <v>363</v>
      </c>
      <c r="E24" s="1412" t="s">
        <v>403</v>
      </c>
    </row>
    <row r="25" spans="1:14" ht="15">
      <c r="A25" s="771" t="s">
        <v>365</v>
      </c>
      <c r="B25" s="1412">
        <v>11982</v>
      </c>
      <c r="C25" s="1412">
        <v>7652</v>
      </c>
      <c r="D25" s="1412">
        <v>4020</v>
      </c>
      <c r="E25" s="1412">
        <v>310</v>
      </c>
    </row>
    <row r="26" spans="1:14" ht="15">
      <c r="A26" s="771" t="s">
        <v>364</v>
      </c>
      <c r="B26" s="1412">
        <v>1</v>
      </c>
      <c r="C26" s="1412">
        <f>C25/B25</f>
        <v>0.63862460357202466</v>
      </c>
      <c r="D26" s="1412">
        <f>D25/B25</f>
        <v>0.33550325488232347</v>
      </c>
      <c r="E26" s="1412">
        <f>E25/B25</f>
        <v>2.587214154565181E-2</v>
      </c>
    </row>
    <row r="27" spans="1:14" ht="15">
      <c r="A27" s="771" t="s">
        <v>366</v>
      </c>
      <c r="B27" s="1412">
        <v>13463</v>
      </c>
      <c r="C27" s="1413">
        <f>C26*B27</f>
        <v>8597.8030378901676</v>
      </c>
      <c r="D27" s="1413">
        <f>D26*B27</f>
        <v>4516.8803204807209</v>
      </c>
      <c r="E27" s="1413">
        <f>E26*B27</f>
        <v>348.31664162911034</v>
      </c>
    </row>
    <row r="28" spans="1:14" ht="15">
      <c r="A28" s="771" t="s">
        <v>367</v>
      </c>
      <c r="B28" s="1412">
        <v>1481</v>
      </c>
      <c r="C28" s="1413">
        <f>B28*C26</f>
        <v>945.80303789016853</v>
      </c>
      <c r="D28" s="1413">
        <f>B28*D26</f>
        <v>496.88032048072102</v>
      </c>
      <c r="E28" s="1413">
        <f>B28*E26</f>
        <v>38.316641629110329</v>
      </c>
    </row>
  </sheetData>
  <mergeCells count="8">
    <mergeCell ref="E1:F1"/>
    <mergeCell ref="D21:E21"/>
    <mergeCell ref="A2:F3"/>
    <mergeCell ref="A5:A6"/>
    <mergeCell ref="B5:B6"/>
    <mergeCell ref="D5:F5"/>
    <mergeCell ref="A4:F4"/>
    <mergeCell ref="C5:C6"/>
  </mergeCells>
  <phoneticPr fontId="0" type="noConversion"/>
  <conditionalFormatting sqref="D6:F6">
    <cfRule type="expression" dxfId="14" priority="7" stopIfTrue="1">
      <formula>ABS($D6-($E6+$F6+$D6+$D6))&gt;отклонение</formula>
    </cfRule>
  </conditionalFormatting>
  <pageMargins left="1.1811023622047245" right="0.15748031496062992" top="0.55000000000000004" bottom="0.39370078740157483" header="0.55000000000000004" footer="0.23622047244094491"/>
  <pageSetup paperSize="9" scale="78" fitToHeight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R207"/>
  <sheetViews>
    <sheetView topLeftCell="C1" zoomScaleSheetLayoutView="100" workbookViewId="0">
      <selection activeCell="H31" sqref="H31:J31"/>
    </sheetView>
  </sheetViews>
  <sheetFormatPr defaultColWidth="29.140625" defaultRowHeight="12.75"/>
  <cols>
    <col min="1" max="1" width="1.85546875" customWidth="1"/>
    <col min="2" max="2" width="85.7109375" customWidth="1"/>
    <col min="3" max="3" width="13.140625" style="2" customWidth="1"/>
    <col min="4" max="5" width="16.42578125" style="6" customWidth="1"/>
    <col min="6" max="6" width="13.42578125" style="6" customWidth="1"/>
    <col min="7" max="7" width="14.140625" style="6" customWidth="1"/>
    <col min="8" max="8" width="14" style="6" customWidth="1"/>
    <col min="9" max="9" width="12.5703125" style="6" customWidth="1"/>
    <col min="10" max="10" width="13.85546875" customWidth="1"/>
    <col min="11" max="11" width="9.42578125" customWidth="1"/>
    <col min="12" max="12" width="10.42578125" customWidth="1"/>
    <col min="13" max="13" width="10.7109375" customWidth="1"/>
    <col min="14" max="14" width="9.5703125" customWidth="1"/>
    <col min="15" max="15" width="9.140625" customWidth="1"/>
    <col min="16" max="16" width="8.28515625" customWidth="1"/>
  </cols>
  <sheetData>
    <row r="1" spans="2:16">
      <c r="I1" s="1499" t="s">
        <v>198</v>
      </c>
      <c r="J1" s="1499"/>
    </row>
    <row r="2" spans="2:16" s="7" customFormat="1" ht="42" customHeight="1">
      <c r="B2" s="1502" t="s">
        <v>938</v>
      </c>
      <c r="C2" s="1502"/>
      <c r="D2" s="1502"/>
      <c r="E2" s="1502"/>
      <c r="F2" s="1502"/>
      <c r="G2" s="1502"/>
      <c r="H2" s="1502"/>
      <c r="I2" s="114"/>
      <c r="J2" s="35"/>
      <c r="K2" s="35"/>
    </row>
    <row r="3" spans="2:16" s="7" customFormat="1" ht="18" customHeight="1">
      <c r="B3" s="1503"/>
      <c r="C3" s="1503"/>
      <c r="D3" s="1503"/>
      <c r="E3" s="1503"/>
      <c r="F3" s="1503"/>
      <c r="G3" s="1503"/>
      <c r="H3" s="1503"/>
      <c r="I3" s="115"/>
      <c r="J3" s="96"/>
      <c r="K3" s="96"/>
    </row>
    <row r="4" spans="2:16" s="7" customFormat="1" ht="27.75" customHeight="1">
      <c r="B4" s="917" t="s">
        <v>966</v>
      </c>
      <c r="C4" s="918"/>
      <c r="D4" s="919">
        <f>E4+I4+J4</f>
        <v>0.99999999999999978</v>
      </c>
      <c r="E4" s="919">
        <f>F4+G4+H4</f>
        <v>0.93288361254629071</v>
      </c>
      <c r="F4" s="920">
        <f>'ЗП_Всього по під-ву'!E28</f>
        <v>0.63011305768372172</v>
      </c>
      <c r="G4" s="920">
        <f>'ЗП_Всього по під-ву'!F28</f>
        <v>0.18028314775954987</v>
      </c>
      <c r="H4" s="920">
        <f>'ЗП_Всього по під-ву'!G28</f>
        <v>0.12248740710301914</v>
      </c>
      <c r="I4" s="920">
        <f>'ЗП_Всього по під-ву'!H28</f>
        <v>3.3558193726854556E-2</v>
      </c>
      <c r="J4" s="920">
        <f>'ЗП_Всього по під-ву'!I28</f>
        <v>3.3558193726854556E-2</v>
      </c>
      <c r="K4" s="96"/>
    </row>
    <row r="5" spans="2:16" s="7" customFormat="1" ht="23.25" customHeight="1">
      <c r="B5" s="917" t="s">
        <v>992</v>
      </c>
      <c r="C5" s="921"/>
      <c r="D5" s="919">
        <f>SUM(F5:H5)</f>
        <v>1</v>
      </c>
      <c r="E5" s="919"/>
      <c r="F5" s="920">
        <f>Прямі!$D$72</f>
        <v>0.85609607848743829</v>
      </c>
      <c r="G5" s="920">
        <f>Прямі!$E$72</f>
        <v>0.12037307533290731</v>
      </c>
      <c r="H5" s="920">
        <f>Прямі!$F$72</f>
        <v>2.3530846179654386E-2</v>
      </c>
      <c r="I5" s="920"/>
      <c r="J5" s="949"/>
      <c r="K5" s="35">
        <v>42.5</v>
      </c>
      <c r="L5" s="7" t="s">
        <v>940</v>
      </c>
    </row>
    <row r="6" spans="2:16" ht="21" customHeight="1">
      <c r="B6" s="917" t="s">
        <v>993</v>
      </c>
      <c r="C6" s="923"/>
      <c r="D6" s="919">
        <f>SUM(F6:H6)</f>
        <v>1</v>
      </c>
      <c r="E6" s="919"/>
      <c r="F6" s="919">
        <f>F5</f>
        <v>0.85609607848743829</v>
      </c>
      <c r="G6" s="919">
        <f>G5</f>
        <v>0.12037307533290731</v>
      </c>
      <c r="H6" s="919">
        <f>H5</f>
        <v>2.3530846179654386E-2</v>
      </c>
      <c r="I6" s="919"/>
      <c r="J6" s="950"/>
    </row>
    <row r="7" spans="2:16" s="5" customFormat="1" ht="27" customHeight="1">
      <c r="B7" s="1505" t="s">
        <v>701</v>
      </c>
      <c r="C7" s="1504" t="s">
        <v>488</v>
      </c>
      <c r="D7" s="1504" t="s">
        <v>351</v>
      </c>
      <c r="E7" s="1504" t="s">
        <v>379</v>
      </c>
      <c r="F7" s="1505" t="s">
        <v>505</v>
      </c>
      <c r="G7" s="1505"/>
      <c r="H7" s="1505"/>
      <c r="I7" s="1504" t="s">
        <v>989</v>
      </c>
      <c r="J7" s="1506" t="s">
        <v>1002</v>
      </c>
      <c r="K7" s="776" t="s">
        <v>935</v>
      </c>
      <c r="L7" s="506" t="s">
        <v>963</v>
      </c>
      <c r="M7" s="506" t="s">
        <v>964</v>
      </c>
      <c r="N7" s="5" t="s">
        <v>973</v>
      </c>
    </row>
    <row r="8" spans="2:16" s="5" customFormat="1" ht="82.5" customHeight="1">
      <c r="B8" s="1505"/>
      <c r="C8" s="1504"/>
      <c r="D8" s="1504"/>
      <c r="E8" s="1504"/>
      <c r="F8" s="928" t="s">
        <v>712</v>
      </c>
      <c r="G8" s="928" t="s">
        <v>620</v>
      </c>
      <c r="H8" s="928" t="s">
        <v>713</v>
      </c>
      <c r="I8" s="1504"/>
      <c r="J8" s="1507"/>
      <c r="K8" s="820">
        <v>44136</v>
      </c>
      <c r="L8" s="1388">
        <v>2.1324100000000001</v>
      </c>
      <c r="M8" s="1388">
        <v>0.34721000000000002</v>
      </c>
      <c r="N8" s="821">
        <v>70180</v>
      </c>
      <c r="O8" s="822"/>
    </row>
    <row r="9" spans="2:16" s="1" customFormat="1" ht="24.95" customHeight="1">
      <c r="B9" s="925" t="s">
        <v>621</v>
      </c>
      <c r="C9" s="926" t="s">
        <v>398</v>
      </c>
      <c r="D9" s="927">
        <v>13780</v>
      </c>
      <c r="E9" s="927">
        <f>D9</f>
        <v>13780</v>
      </c>
      <c r="F9" s="927">
        <f>D9</f>
        <v>13780</v>
      </c>
      <c r="G9" s="927"/>
      <c r="H9" s="927"/>
      <c r="I9" s="927"/>
      <c r="J9" s="927"/>
      <c r="K9" s="777">
        <v>44166</v>
      </c>
      <c r="L9" s="1389">
        <v>2.5872700000000002</v>
      </c>
      <c r="M9" s="1389">
        <v>0.39409</v>
      </c>
      <c r="N9" s="713">
        <v>69474</v>
      </c>
      <c r="O9" s="8"/>
    </row>
    <row r="10" spans="2:16" s="1" customFormat="1" ht="24.95" customHeight="1">
      <c r="B10" s="834" t="s">
        <v>494</v>
      </c>
      <c r="C10" s="835" t="s">
        <v>400</v>
      </c>
      <c r="D10" s="836">
        <f t="shared" ref="D10:J10" si="0">D14+D22+D26</f>
        <v>588.82399999999996</v>
      </c>
      <c r="E10" s="836">
        <f t="shared" si="0"/>
        <v>584.37814337867883</v>
      </c>
      <c r="F10" s="836">
        <f t="shared" si="0"/>
        <v>95.296579916055947</v>
      </c>
      <c r="G10" s="836">
        <f t="shared" si="0"/>
        <v>487.62747144912947</v>
      </c>
      <c r="H10" s="836">
        <f t="shared" si="0"/>
        <v>1.4540920134933801</v>
      </c>
      <c r="I10" s="836">
        <f t="shared" si="0"/>
        <v>2.2229283106605724</v>
      </c>
      <c r="J10" s="836">
        <f t="shared" si="0"/>
        <v>2.2229283106605724</v>
      </c>
      <c r="K10" s="777">
        <v>44197</v>
      </c>
      <c r="L10" s="1389">
        <v>3.05559</v>
      </c>
      <c r="M10" s="1389">
        <v>0.30779000000000001</v>
      </c>
      <c r="N10" s="713">
        <v>62610</v>
      </c>
      <c r="O10" s="8"/>
    </row>
    <row r="11" spans="2:16" s="1" customFormat="1" ht="24.95" customHeight="1">
      <c r="B11" s="661" t="s">
        <v>703</v>
      </c>
      <c r="C11" s="840" t="s">
        <v>397</v>
      </c>
      <c r="D11" s="841">
        <f t="shared" ref="D11:J11" si="1">D16+D19+D24+D28</f>
        <v>1920.117604</v>
      </c>
      <c r="E11" s="841">
        <f t="shared" si="1"/>
        <v>1901.7110449817055</v>
      </c>
      <c r="F11" s="841">
        <f t="shared" si="1"/>
        <v>287.09994699001464</v>
      </c>
      <c r="G11" s="841">
        <f t="shared" si="1"/>
        <v>1610.2808119755077</v>
      </c>
      <c r="H11" s="841">
        <f t="shared" si="1"/>
        <v>4.3302860161832868</v>
      </c>
      <c r="I11" s="841">
        <f t="shared" si="1"/>
        <v>6.619880509147186</v>
      </c>
      <c r="J11" s="841">
        <f t="shared" si="1"/>
        <v>6.619880509147186</v>
      </c>
      <c r="K11" s="777">
        <v>44228</v>
      </c>
      <c r="L11" s="1389">
        <v>3.05559</v>
      </c>
      <c r="M11" s="1389">
        <v>0.25758999999999999</v>
      </c>
      <c r="N11" s="713">
        <v>66175</v>
      </c>
      <c r="O11" s="8"/>
    </row>
    <row r="12" spans="2:16" s="1" customFormat="1" ht="24.95" customHeight="1">
      <c r="B12" s="837" t="s">
        <v>625</v>
      </c>
      <c r="C12" s="838" t="s">
        <v>967</v>
      </c>
      <c r="D12" s="836">
        <v>42.5</v>
      </c>
      <c r="E12" s="839">
        <v>42.5</v>
      </c>
      <c r="F12" s="839"/>
      <c r="G12" s="839"/>
      <c r="H12" s="839"/>
      <c r="I12" s="614"/>
      <c r="J12" s="1406"/>
      <c r="K12" s="777">
        <v>44256</v>
      </c>
      <c r="L12" s="1389">
        <v>3.05559</v>
      </c>
      <c r="M12" s="1389">
        <v>0.29182000000000002</v>
      </c>
      <c r="N12" s="713">
        <v>7221</v>
      </c>
      <c r="O12" s="823"/>
    </row>
    <row r="13" spans="2:16" s="1" customFormat="1" ht="24.95" customHeight="1">
      <c r="B13" s="837" t="s">
        <v>977</v>
      </c>
      <c r="C13" s="835" t="s">
        <v>400</v>
      </c>
      <c r="D13" s="836">
        <f>D9*D12/1000</f>
        <v>585.65</v>
      </c>
      <c r="E13" s="836">
        <f>SUM(F13:H13)</f>
        <v>581.41717079245689</v>
      </c>
      <c r="F13" s="836">
        <f>F14+F22</f>
        <v>92.761702896482547</v>
      </c>
      <c r="G13" s="836">
        <f>G14+G22</f>
        <v>487.27105007294949</v>
      </c>
      <c r="H13" s="836">
        <f>H14+H22</f>
        <v>1.3844178230248185</v>
      </c>
      <c r="I13" s="614">
        <v>0</v>
      </c>
      <c r="J13" s="1407">
        <v>0</v>
      </c>
      <c r="K13" s="777">
        <v>44287</v>
      </c>
      <c r="L13" s="1389">
        <v>3.05559</v>
      </c>
      <c r="M13" s="915">
        <v>0.29110999999999998</v>
      </c>
      <c r="N13" s="916">
        <v>17244</v>
      </c>
      <c r="O13" s="823"/>
    </row>
    <row r="14" spans="2:16" s="5" customFormat="1" ht="24.95" customHeight="1">
      <c r="B14" s="834" t="s">
        <v>719</v>
      </c>
      <c r="C14" s="835" t="s">
        <v>400</v>
      </c>
      <c r="D14" s="613">
        <f>D9*D12/1000-D22</f>
        <v>522.58299999999997</v>
      </c>
      <c r="E14" s="613">
        <f>D14</f>
        <v>522.58299999999997</v>
      </c>
      <c r="F14" s="613">
        <v>42.393999999999998</v>
      </c>
      <c r="G14" s="613">
        <f>E14-F14</f>
        <v>480.18899999999996</v>
      </c>
      <c r="H14" s="613">
        <f>H12*H9/1000</f>
        <v>0</v>
      </c>
      <c r="I14" s="613">
        <v>0</v>
      </c>
      <c r="J14" s="951">
        <v>0</v>
      </c>
      <c r="K14" s="777">
        <v>44317</v>
      </c>
      <c r="L14" s="915">
        <v>3.05559</v>
      </c>
      <c r="M14" s="513"/>
      <c r="N14" s="713">
        <v>17520</v>
      </c>
      <c r="O14" s="830">
        <v>43739</v>
      </c>
      <c r="P14" s="12"/>
    </row>
    <row r="15" spans="2:16" s="5" customFormat="1" ht="24.95" customHeight="1">
      <c r="B15" s="617" t="s">
        <v>975</v>
      </c>
      <c r="C15" s="610" t="s">
        <v>400</v>
      </c>
      <c r="D15" s="613">
        <v>3.056</v>
      </c>
      <c r="E15" s="613">
        <f>D15</f>
        <v>3.056</v>
      </c>
      <c r="F15" s="613">
        <f>E15</f>
        <v>3.056</v>
      </c>
      <c r="G15" s="613">
        <f>F15</f>
        <v>3.056</v>
      </c>
      <c r="H15" s="613">
        <f>G15</f>
        <v>3.056</v>
      </c>
      <c r="I15" s="613">
        <f>H15</f>
        <v>3.056</v>
      </c>
      <c r="J15" s="613">
        <f>I15</f>
        <v>3.056</v>
      </c>
      <c r="K15" s="777">
        <v>44348</v>
      </c>
      <c r="L15" s="915">
        <v>3.05559</v>
      </c>
      <c r="O15" s="53"/>
      <c r="P15" s="12"/>
    </row>
    <row r="16" spans="2:16" s="45" customFormat="1" ht="24.95" customHeight="1">
      <c r="B16" s="616" t="s">
        <v>812</v>
      </c>
      <c r="C16" s="609" t="s">
        <v>692</v>
      </c>
      <c r="D16" s="612">
        <f t="shared" ref="D16:J16" si="2">D14*D15</f>
        <v>1597.0136479999999</v>
      </c>
      <c r="E16" s="612">
        <f t="shared" si="2"/>
        <v>1597.0136479999999</v>
      </c>
      <c r="F16" s="612">
        <f t="shared" si="2"/>
        <v>129.55606399999999</v>
      </c>
      <c r="G16" s="612">
        <f t="shared" si="2"/>
        <v>1467.457584</v>
      </c>
      <c r="H16" s="612">
        <f t="shared" si="2"/>
        <v>0</v>
      </c>
      <c r="I16" s="612">
        <f t="shared" si="2"/>
        <v>0</v>
      </c>
      <c r="J16" s="612">
        <f t="shared" si="2"/>
        <v>0</v>
      </c>
      <c r="K16" s="32" t="s">
        <v>937</v>
      </c>
      <c r="L16" s="32">
        <f>AVERAGE(L10:L15)</f>
        <v>3.05559</v>
      </c>
      <c r="M16" s="32">
        <f>AVERAGE(M8:M14)</f>
        <v>0.31493500000000002</v>
      </c>
      <c r="N16" s="32">
        <f>SUM(N8:N14)</f>
        <v>310424</v>
      </c>
      <c r="P16" s="43"/>
    </row>
    <row r="17" spans="1:18" s="578" customFormat="1" ht="33" customHeight="1">
      <c r="B17" s="1409" t="s">
        <v>360</v>
      </c>
      <c r="C17" s="838" t="s">
        <v>426</v>
      </c>
      <c r="D17" s="831">
        <v>383.084</v>
      </c>
      <c r="E17" s="831">
        <v>383.084</v>
      </c>
      <c r="F17" s="831">
        <f>F14*I17</f>
        <v>0</v>
      </c>
      <c r="G17" s="831">
        <f>E17</f>
        <v>383.084</v>
      </c>
      <c r="H17" s="831">
        <f>H19/H18</f>
        <v>0</v>
      </c>
      <c r="I17" s="831">
        <v>0</v>
      </c>
      <c r="J17" s="831">
        <v>0</v>
      </c>
      <c r="K17" s="598"/>
      <c r="L17" s="598"/>
      <c r="M17" s="598"/>
      <c r="N17" s="598"/>
      <c r="O17" s="598"/>
      <c r="P17" s="598"/>
    </row>
    <row r="18" spans="1:18" s="783" customFormat="1" ht="24.95" customHeight="1">
      <c r="A18" s="578"/>
      <c r="B18" s="832" t="s">
        <v>976</v>
      </c>
      <c r="C18" s="833" t="s">
        <v>681</v>
      </c>
      <c r="D18" s="831">
        <v>0.315</v>
      </c>
      <c r="E18" s="831">
        <v>0.315</v>
      </c>
      <c r="F18" s="831">
        <v>0.315</v>
      </c>
      <c r="G18" s="831">
        <v>0.315</v>
      </c>
      <c r="H18" s="831">
        <v>0.315</v>
      </c>
      <c r="I18" s="831">
        <v>0.315</v>
      </c>
      <c r="J18" s="831">
        <v>0.315</v>
      </c>
      <c r="K18" s="782"/>
      <c r="L18" s="782"/>
      <c r="M18" s="782"/>
      <c r="N18" s="782"/>
      <c r="O18" s="782"/>
      <c r="P18" s="782"/>
    </row>
    <row r="19" spans="1:18" s="45" customFormat="1" ht="24.95" customHeight="1">
      <c r="B19" s="616" t="s">
        <v>794</v>
      </c>
      <c r="C19" s="609" t="s">
        <v>692</v>
      </c>
      <c r="D19" s="612">
        <f>D17*D18</f>
        <v>120.67146</v>
      </c>
      <c r="E19" s="612">
        <f>E17*E18</f>
        <v>120.67146</v>
      </c>
      <c r="F19" s="612">
        <f>F17*F18</f>
        <v>0</v>
      </c>
      <c r="G19" s="612">
        <f>E19</f>
        <v>120.67146</v>
      </c>
      <c r="H19" s="612">
        <f>H16*Вхід_дані!$D$23</f>
        <v>0</v>
      </c>
      <c r="I19" s="612">
        <v>0</v>
      </c>
      <c r="J19" s="615">
        <v>0</v>
      </c>
      <c r="K19" s="53"/>
      <c r="L19" s="53"/>
      <c r="M19" s="53"/>
      <c r="N19" s="53"/>
      <c r="O19" s="53"/>
      <c r="P19" s="43"/>
    </row>
    <row r="20" spans="1:18" s="45" customFormat="1" ht="24.95" customHeight="1">
      <c r="B20" s="616" t="s">
        <v>811</v>
      </c>
      <c r="C20" s="609" t="s">
        <v>692</v>
      </c>
      <c r="D20" s="612">
        <f>D16+D19</f>
        <v>1717.6851079999999</v>
      </c>
      <c r="E20" s="612">
        <f>E16+E19</f>
        <v>1717.6851079999999</v>
      </c>
      <c r="F20" s="612">
        <f>F16+F19</f>
        <v>129.55606399999999</v>
      </c>
      <c r="G20" s="612">
        <f>G16+G19</f>
        <v>1588.129044</v>
      </c>
      <c r="H20" s="612">
        <f>H16+H19</f>
        <v>0</v>
      </c>
      <c r="I20" s="612">
        <v>0</v>
      </c>
      <c r="J20" s="615">
        <v>0</v>
      </c>
      <c r="K20" s="53"/>
      <c r="L20" s="53"/>
      <c r="M20" s="53"/>
      <c r="N20" s="53"/>
      <c r="O20" s="53"/>
      <c r="P20" s="43"/>
    </row>
    <row r="21" spans="1:18" ht="24.95" customHeight="1">
      <c r="B21" s="1509" t="s">
        <v>656</v>
      </c>
      <c r="C21" s="1510"/>
      <c r="D21" s="1510"/>
      <c r="E21" s="1510"/>
      <c r="F21" s="1510"/>
      <c r="G21" s="1510"/>
      <c r="H21" s="1511"/>
      <c r="I21" s="615"/>
      <c r="J21" s="615"/>
    </row>
    <row r="22" spans="1:18" s="5" customFormat="1" ht="38.25" customHeight="1">
      <c r="B22" s="617" t="s">
        <v>965</v>
      </c>
      <c r="C22" s="610" t="s">
        <v>400</v>
      </c>
      <c r="D22" s="613">
        <v>63.067</v>
      </c>
      <c r="E22" s="613">
        <f>D22*$E$4</f>
        <v>58.834170792456916</v>
      </c>
      <c r="F22" s="613">
        <f>$E22*F$5</f>
        <v>50.367702896482548</v>
      </c>
      <c r="G22" s="613">
        <f>$E22*G$5</f>
        <v>7.082050072949551</v>
      </c>
      <c r="H22" s="613">
        <f>$E22*H$5</f>
        <v>1.3844178230248185</v>
      </c>
      <c r="I22" s="613">
        <f>D22*I4</f>
        <v>2.1164146037715361</v>
      </c>
      <c r="J22" s="613">
        <f>D22*J4</f>
        <v>2.1164146037715361</v>
      </c>
    </row>
    <row r="23" spans="1:18" ht="24.95" customHeight="1">
      <c r="B23" s="617" t="s">
        <v>975</v>
      </c>
      <c r="C23" s="610" t="s">
        <v>699</v>
      </c>
      <c r="D23" s="613">
        <v>3.056</v>
      </c>
      <c r="E23" s="613">
        <v>2.9780000000000002</v>
      </c>
      <c r="F23" s="613">
        <v>2.9780000000000002</v>
      </c>
      <c r="G23" s="613">
        <v>2.9780000000000002</v>
      </c>
      <c r="H23" s="613">
        <v>2.9780000000000002</v>
      </c>
      <c r="I23" s="613">
        <v>2.9780000000000002</v>
      </c>
      <c r="J23" s="613">
        <v>2.9780000000000002</v>
      </c>
      <c r="K23" s="3"/>
      <c r="L23" s="3"/>
    </row>
    <row r="24" spans="1:18" s="1" customFormat="1" ht="24.95" customHeight="1">
      <c r="B24" s="618" t="s">
        <v>626</v>
      </c>
      <c r="C24" s="611" t="s">
        <v>397</v>
      </c>
      <c r="D24" s="614">
        <f t="shared" ref="D24:J24" si="3">D22*D23</f>
        <v>192.732752</v>
      </c>
      <c r="E24" s="614">
        <f t="shared" si="3"/>
        <v>175.20816061993671</v>
      </c>
      <c r="F24" s="614">
        <f t="shared" si="3"/>
        <v>149.99501922572503</v>
      </c>
      <c r="G24" s="614">
        <f t="shared" si="3"/>
        <v>21.090345117243764</v>
      </c>
      <c r="H24" s="614">
        <f t="shared" si="3"/>
        <v>4.1227962769679101</v>
      </c>
      <c r="I24" s="614">
        <f t="shared" si="3"/>
        <v>6.3026826900316353</v>
      </c>
      <c r="J24" s="614">
        <f t="shared" si="3"/>
        <v>6.3026826900316353</v>
      </c>
      <c r="K24" s="36"/>
      <c r="L24" s="36"/>
      <c r="M24" s="36"/>
      <c r="N24" s="36"/>
      <c r="O24" s="36"/>
      <c r="P24" s="36"/>
      <c r="Q24" s="36"/>
      <c r="R24" s="36"/>
    </row>
    <row r="25" spans="1:18" s="1" customFormat="1" ht="24.95" customHeight="1">
      <c r="B25" s="1509" t="s">
        <v>679</v>
      </c>
      <c r="C25" s="1510"/>
      <c r="D25" s="1510"/>
      <c r="E25" s="1510"/>
      <c r="F25" s="1510"/>
      <c r="G25" s="1510"/>
      <c r="H25" s="1511"/>
      <c r="I25" s="615"/>
      <c r="J25" s="615"/>
      <c r="K25" s="36"/>
      <c r="L25" s="36"/>
      <c r="M25" s="36"/>
      <c r="N25" s="36"/>
      <c r="O25" s="36"/>
      <c r="P25" s="36"/>
      <c r="Q25" s="36"/>
      <c r="R25" s="36"/>
    </row>
    <row r="26" spans="1:18" s="1" customFormat="1" ht="24.95" customHeight="1">
      <c r="B26" s="617" t="s">
        <v>974</v>
      </c>
      <c r="C26" s="610" t="s">
        <v>400</v>
      </c>
      <c r="D26" s="613">
        <v>3.1739999999999999</v>
      </c>
      <c r="E26" s="613">
        <f>D26*$E$4</f>
        <v>2.9609725862219265</v>
      </c>
      <c r="F26" s="613">
        <f>$E26*F$6</f>
        <v>2.5348770195733996</v>
      </c>
      <c r="G26" s="613">
        <f>$E26*G$6</f>
        <v>0.35642137617996533</v>
      </c>
      <c r="H26" s="613">
        <f>$E26*H$6</f>
        <v>6.9674190468561589E-2</v>
      </c>
      <c r="I26" s="613">
        <f>D26*I4</f>
        <v>0.10651370688903636</v>
      </c>
      <c r="J26" s="615">
        <f>D26*J4</f>
        <v>0.10651370688903636</v>
      </c>
      <c r="K26" s="36"/>
      <c r="L26" s="36"/>
      <c r="M26" s="36"/>
      <c r="N26" s="36"/>
      <c r="O26" s="36"/>
      <c r="P26" s="36"/>
      <c r="Q26" s="36"/>
      <c r="R26" s="36"/>
    </row>
    <row r="27" spans="1:18" s="1" customFormat="1" ht="24.95" customHeight="1">
      <c r="B27" s="617" t="s">
        <v>975</v>
      </c>
      <c r="C27" s="610" t="s">
        <v>699</v>
      </c>
      <c r="D27" s="613">
        <v>3.056</v>
      </c>
      <c r="E27" s="613">
        <v>2.9780000000000002</v>
      </c>
      <c r="F27" s="613">
        <v>2.9780000000000002</v>
      </c>
      <c r="G27" s="613">
        <v>2.9780000000000002</v>
      </c>
      <c r="H27" s="613">
        <v>2.9780000000000002</v>
      </c>
      <c r="I27" s="613">
        <v>2.9780000000000002</v>
      </c>
      <c r="J27" s="613">
        <v>2.9780000000000002</v>
      </c>
      <c r="K27" s="36"/>
      <c r="L27" s="36"/>
      <c r="M27" s="36"/>
      <c r="N27" s="36"/>
      <c r="O27" s="36"/>
      <c r="P27" s="36"/>
      <c r="Q27" s="36"/>
      <c r="R27" s="36"/>
    </row>
    <row r="28" spans="1:18" s="1" customFormat="1" ht="24.95" customHeight="1">
      <c r="B28" s="616" t="s">
        <v>434</v>
      </c>
      <c r="C28" s="609" t="s">
        <v>397</v>
      </c>
      <c r="D28" s="612">
        <f t="shared" ref="D28:J28" si="4">D26*D27</f>
        <v>9.6997440000000008</v>
      </c>
      <c r="E28" s="612">
        <f t="shared" si="4"/>
        <v>8.8177763617688978</v>
      </c>
      <c r="F28" s="612">
        <f t="shared" si="4"/>
        <v>7.5488637642895844</v>
      </c>
      <c r="G28" s="612">
        <f t="shared" si="4"/>
        <v>1.0614228582639369</v>
      </c>
      <c r="H28" s="612">
        <f t="shared" si="4"/>
        <v>0.20748973921537642</v>
      </c>
      <c r="I28" s="612">
        <f t="shared" si="4"/>
        <v>0.31719781911555028</v>
      </c>
      <c r="J28" s="612">
        <f t="shared" si="4"/>
        <v>0.31719781911555028</v>
      </c>
      <c r="K28" s="36"/>
      <c r="L28" s="36"/>
      <c r="M28" s="36"/>
      <c r="N28" s="36"/>
      <c r="O28" s="36"/>
      <c r="P28" s="36"/>
      <c r="Q28" s="36"/>
      <c r="R28" s="36"/>
    </row>
    <row r="29" spans="1:18" s="1" customFormat="1" ht="25.5" customHeight="1">
      <c r="B29" s="608"/>
      <c r="C29" s="18"/>
      <c r="D29" s="536"/>
      <c r="E29" s="536"/>
      <c r="F29" s="536"/>
      <c r="G29" s="536"/>
      <c r="H29" s="536"/>
      <c r="I29" s="93"/>
      <c r="J29" s="44"/>
      <c r="K29" s="36"/>
      <c r="L29" s="36"/>
      <c r="M29" s="36"/>
      <c r="N29" s="36"/>
      <c r="O29" s="36"/>
      <c r="P29" s="36"/>
      <c r="Q29" s="36"/>
      <c r="R29" s="36"/>
    </row>
    <row r="30" spans="1:18" s="1" customFormat="1" ht="25.5" customHeight="1">
      <c r="B30" s="51"/>
      <c r="C30" s="18"/>
      <c r="D30" s="39"/>
      <c r="E30" s="536"/>
      <c r="F30" s="536"/>
      <c r="G30" s="536"/>
      <c r="H30" s="536"/>
      <c r="I30" s="93"/>
      <c r="J30" s="44"/>
      <c r="K30" s="36"/>
      <c r="L30" s="36"/>
      <c r="M30" s="36"/>
      <c r="N30" s="36"/>
      <c r="O30" s="36"/>
      <c r="P30" s="36"/>
      <c r="Q30" s="36"/>
      <c r="R30" s="36"/>
    </row>
    <row r="31" spans="1:18" s="84" customFormat="1" ht="33" customHeight="1">
      <c r="B31" s="842" t="s">
        <v>368</v>
      </c>
      <c r="C31" s="819"/>
      <c r="D31" s="843"/>
      <c r="E31" s="843"/>
      <c r="F31" s="843"/>
      <c r="H31" s="1500" t="s">
        <v>370</v>
      </c>
      <c r="I31" s="1500"/>
      <c r="J31" s="1500"/>
      <c r="K31" s="844"/>
      <c r="L31" s="844"/>
      <c r="M31" s="844"/>
      <c r="N31" s="844"/>
      <c r="O31" s="844"/>
      <c r="P31" s="844"/>
      <c r="Q31" s="844"/>
      <c r="R31" s="844"/>
    </row>
    <row r="32" spans="1:18" ht="13.5" customHeight="1">
      <c r="B32" s="1508"/>
      <c r="C32" s="1508"/>
      <c r="D32" s="1508"/>
      <c r="E32" s="1508"/>
      <c r="F32" s="1508"/>
      <c r="G32" s="1508"/>
      <c r="H32" s="1508"/>
      <c r="I32" s="116"/>
    </row>
    <row r="33" spans="2:9">
      <c r="B33" s="1508"/>
      <c r="C33" s="1508"/>
      <c r="D33" s="1508"/>
      <c r="E33" s="1508"/>
      <c r="F33" s="1508"/>
      <c r="G33" s="1508"/>
      <c r="H33" s="1508"/>
      <c r="I33" s="116"/>
    </row>
    <row r="34" spans="2:9">
      <c r="D34" s="9"/>
      <c r="E34" s="9"/>
      <c r="F34" s="25"/>
      <c r="G34" s="25"/>
      <c r="H34" s="25"/>
      <c r="I34" s="25"/>
    </row>
    <row r="35" spans="2:9">
      <c r="D35" s="19"/>
      <c r="E35" s="19"/>
      <c r="F35" s="26"/>
      <c r="G35" s="26"/>
      <c r="H35" s="26"/>
      <c r="I35" s="26"/>
    </row>
    <row r="36" spans="2:9">
      <c r="D36" s="24"/>
      <c r="E36" s="24"/>
      <c r="F36" s="1501"/>
      <c r="G36" s="1501"/>
      <c r="H36" s="66"/>
      <c r="I36" s="66"/>
    </row>
    <row r="37" spans="2:9">
      <c r="D37" s="24"/>
      <c r="E37" s="24"/>
      <c r="F37" s="22"/>
      <c r="G37" s="22"/>
      <c r="H37" s="22"/>
      <c r="I37" s="22"/>
    </row>
    <row r="38" spans="2:9">
      <c r="D38" s="26"/>
      <c r="E38" s="26"/>
      <c r="F38" s="26"/>
      <c r="G38" s="26"/>
      <c r="H38" s="26"/>
      <c r="I38" s="26"/>
    </row>
    <row r="39" spans="2:9">
      <c r="D39" s="9"/>
      <c r="E39" s="9"/>
      <c r="F39" s="25"/>
      <c r="G39" s="25"/>
      <c r="H39" s="25"/>
      <c r="I39" s="25"/>
    </row>
    <row r="40" spans="2:9">
      <c r="D40" s="19"/>
      <c r="E40" s="19"/>
      <c r="F40" s="26"/>
      <c r="G40" s="26"/>
      <c r="H40" s="26"/>
      <c r="I40" s="26"/>
    </row>
    <row r="41" spans="2:9">
      <c r="D41" s="9"/>
      <c r="E41" s="9"/>
      <c r="F41" s="25"/>
      <c r="G41" s="25"/>
      <c r="H41" s="25"/>
      <c r="I41" s="25"/>
    </row>
    <row r="42" spans="2:9">
      <c r="D42" s="9"/>
      <c r="E42" s="9"/>
      <c r="F42" s="25"/>
      <c r="G42" s="25"/>
      <c r="H42" s="25"/>
      <c r="I42" s="25"/>
    </row>
    <row r="43" spans="2:9">
      <c r="D43" s="9"/>
      <c r="E43" s="9"/>
      <c r="F43" s="25"/>
      <c r="G43" s="25"/>
      <c r="H43" s="25"/>
      <c r="I43" s="25"/>
    </row>
    <row r="44" spans="2:9">
      <c r="D44" s="9"/>
      <c r="E44" s="9"/>
      <c r="F44" s="25"/>
      <c r="G44" s="25"/>
      <c r="H44" s="25"/>
      <c r="I44" s="25"/>
    </row>
    <row r="45" spans="2:9">
      <c r="D45" s="9"/>
      <c r="E45" s="9"/>
      <c r="F45" s="25"/>
      <c r="G45" s="25"/>
      <c r="H45" s="25"/>
      <c r="I45" s="25"/>
    </row>
    <row r="46" spans="2:9">
      <c r="D46" s="19"/>
      <c r="E46" s="19"/>
      <c r="F46" s="26"/>
      <c r="G46" s="26"/>
      <c r="H46" s="26"/>
      <c r="I46" s="26"/>
    </row>
    <row r="47" spans="2:9">
      <c r="D47" s="24"/>
      <c r="E47" s="24"/>
      <c r="F47" s="1501"/>
      <c r="G47" s="1501"/>
      <c r="H47" s="66"/>
      <c r="I47" s="66"/>
    </row>
    <row r="48" spans="2:9">
      <c r="D48" s="24"/>
      <c r="E48" s="24"/>
      <c r="F48" s="22"/>
      <c r="G48" s="22"/>
      <c r="H48" s="22"/>
      <c r="I48" s="22"/>
    </row>
    <row r="49" spans="4:9">
      <c r="D49" s="26"/>
      <c r="E49" s="26"/>
      <c r="F49" s="26"/>
      <c r="G49" s="26"/>
      <c r="H49" s="26"/>
      <c r="I49" s="26"/>
    </row>
    <row r="50" spans="4:9">
      <c r="D50" s="9"/>
      <c r="E50" s="9"/>
      <c r="F50" s="25"/>
      <c r="G50" s="25"/>
      <c r="H50" s="25"/>
      <c r="I50" s="25"/>
    </row>
    <row r="51" spans="4:9">
      <c r="D51" s="19"/>
      <c r="E51" s="19"/>
      <c r="F51" s="26"/>
      <c r="G51" s="26"/>
      <c r="H51" s="26"/>
      <c r="I51" s="26"/>
    </row>
    <row r="52" spans="4:9">
      <c r="D52" s="9"/>
      <c r="E52" s="9"/>
      <c r="F52" s="25"/>
      <c r="G52" s="25"/>
      <c r="H52" s="25"/>
      <c r="I52" s="25"/>
    </row>
    <row r="53" spans="4:9">
      <c r="D53" s="9"/>
      <c r="E53" s="9"/>
      <c r="F53" s="25"/>
      <c r="G53" s="25"/>
      <c r="H53" s="25"/>
      <c r="I53" s="25"/>
    </row>
    <row r="54" spans="4:9">
      <c r="D54" s="9"/>
      <c r="E54" s="9"/>
      <c r="F54" s="25"/>
      <c r="G54" s="25"/>
      <c r="H54" s="25"/>
      <c r="I54" s="25"/>
    </row>
    <row r="55" spans="4:9">
      <c r="D55" s="9"/>
      <c r="E55" s="9"/>
      <c r="F55" s="25"/>
      <c r="G55" s="25"/>
      <c r="H55" s="25"/>
      <c r="I55" s="25"/>
    </row>
    <row r="56" spans="4:9">
      <c r="D56" s="9"/>
      <c r="E56" s="9"/>
      <c r="F56" s="25"/>
      <c r="G56" s="25"/>
      <c r="H56" s="25"/>
      <c r="I56" s="25"/>
    </row>
    <row r="57" spans="4:9">
      <c r="D57" s="19"/>
      <c r="E57" s="19"/>
      <c r="F57" s="26"/>
      <c r="G57" s="26"/>
      <c r="H57" s="26"/>
      <c r="I57" s="26"/>
    </row>
    <row r="58" spans="4:9">
      <c r="D58" s="24"/>
      <c r="E58" s="24"/>
      <c r="F58" s="1501"/>
      <c r="G58" s="1501"/>
      <c r="H58" s="66"/>
      <c r="I58" s="66"/>
    </row>
    <row r="59" spans="4:9">
      <c r="D59" s="24"/>
      <c r="E59" s="24"/>
      <c r="F59" s="22"/>
      <c r="G59" s="22"/>
      <c r="H59" s="22"/>
      <c r="I59" s="22"/>
    </row>
    <row r="60" spans="4:9">
      <c r="D60" s="26"/>
      <c r="E60" s="26"/>
      <c r="F60" s="26"/>
      <c r="G60" s="26"/>
      <c r="H60" s="26"/>
      <c r="I60" s="26"/>
    </row>
    <row r="61" spans="4:9">
      <c r="D61" s="9"/>
      <c r="E61" s="9"/>
      <c r="F61" s="25"/>
      <c r="G61" s="25"/>
      <c r="H61" s="25"/>
      <c r="I61" s="25"/>
    </row>
    <row r="62" spans="4:9">
      <c r="D62" s="19"/>
      <c r="E62" s="19"/>
      <c r="F62" s="26"/>
      <c r="G62" s="26"/>
      <c r="H62" s="26"/>
      <c r="I62" s="26"/>
    </row>
    <row r="63" spans="4:9">
      <c r="D63" s="9"/>
      <c r="E63" s="9"/>
      <c r="F63" s="25"/>
      <c r="G63" s="25"/>
      <c r="H63" s="25"/>
      <c r="I63" s="25"/>
    </row>
    <row r="64" spans="4:9">
      <c r="D64" s="9"/>
      <c r="E64" s="9"/>
      <c r="F64" s="25"/>
      <c r="G64" s="25"/>
      <c r="H64" s="25"/>
      <c r="I64" s="25"/>
    </row>
    <row r="65" spans="4:9">
      <c r="D65" s="9"/>
      <c r="E65" s="9"/>
      <c r="F65" s="25"/>
      <c r="G65" s="25"/>
      <c r="H65" s="25"/>
      <c r="I65" s="25"/>
    </row>
    <row r="66" spans="4:9">
      <c r="D66" s="9"/>
      <c r="E66" s="9"/>
      <c r="F66" s="25"/>
      <c r="G66" s="25"/>
      <c r="H66" s="25"/>
      <c r="I66" s="25"/>
    </row>
    <row r="67" spans="4:9">
      <c r="D67" s="9"/>
      <c r="E67" s="9"/>
      <c r="F67" s="25"/>
      <c r="G67" s="25"/>
      <c r="H67" s="25"/>
      <c r="I67" s="25"/>
    </row>
    <row r="68" spans="4:9">
      <c r="D68" s="19"/>
      <c r="E68" s="19"/>
      <c r="F68" s="26"/>
      <c r="G68" s="26"/>
      <c r="H68" s="26"/>
      <c r="I68" s="26"/>
    </row>
    <row r="69" spans="4:9">
      <c r="D69" s="24"/>
      <c r="E69" s="24"/>
      <c r="F69" s="1501"/>
      <c r="G69" s="1501"/>
      <c r="H69" s="66"/>
      <c r="I69" s="66"/>
    </row>
    <row r="70" spans="4:9">
      <c r="D70" s="24"/>
      <c r="E70" s="24"/>
      <c r="F70" s="22"/>
      <c r="G70" s="22"/>
      <c r="H70" s="22"/>
      <c r="I70" s="22"/>
    </row>
    <row r="71" spans="4:9">
      <c r="D71" s="26"/>
      <c r="E71" s="26"/>
      <c r="F71" s="26"/>
      <c r="G71" s="26"/>
      <c r="H71" s="26"/>
      <c r="I71" s="26"/>
    </row>
    <row r="72" spans="4:9">
      <c r="D72" s="9"/>
      <c r="E72" s="9"/>
      <c r="F72" s="25"/>
      <c r="G72" s="25"/>
      <c r="H72" s="25"/>
      <c r="I72" s="25"/>
    </row>
    <row r="73" spans="4:9">
      <c r="D73" s="19"/>
      <c r="E73" s="19"/>
      <c r="F73" s="26"/>
      <c r="G73" s="26"/>
      <c r="H73" s="26"/>
      <c r="I73" s="26"/>
    </row>
    <row r="74" spans="4:9">
      <c r="D74" s="9"/>
      <c r="E74" s="9"/>
      <c r="F74" s="25"/>
      <c r="G74" s="25"/>
      <c r="H74" s="25"/>
      <c r="I74" s="25"/>
    </row>
    <row r="75" spans="4:9">
      <c r="D75" s="9"/>
      <c r="E75" s="9"/>
      <c r="F75" s="25"/>
      <c r="G75" s="25"/>
      <c r="H75" s="25"/>
      <c r="I75" s="25"/>
    </row>
    <row r="76" spans="4:9">
      <c r="D76" s="9"/>
      <c r="E76" s="9"/>
      <c r="F76" s="25"/>
      <c r="G76" s="25"/>
      <c r="H76" s="25"/>
      <c r="I76" s="25"/>
    </row>
    <row r="77" spans="4:9">
      <c r="D77" s="9"/>
      <c r="E77" s="9"/>
      <c r="F77" s="25"/>
      <c r="G77" s="25"/>
      <c r="H77" s="25"/>
      <c r="I77" s="25"/>
    </row>
    <row r="78" spans="4:9">
      <c r="D78" s="9"/>
      <c r="E78" s="9"/>
      <c r="F78" s="25"/>
      <c r="G78" s="25"/>
      <c r="H78" s="25"/>
      <c r="I78" s="25"/>
    </row>
    <row r="79" spans="4:9">
      <c r="D79" s="19"/>
      <c r="E79" s="19"/>
      <c r="F79" s="26"/>
      <c r="G79" s="26"/>
      <c r="H79" s="26"/>
      <c r="I79" s="26"/>
    </row>
    <row r="80" spans="4:9">
      <c r="D80" s="24"/>
      <c r="E80" s="24"/>
      <c r="F80" s="1501"/>
      <c r="G80" s="1501"/>
      <c r="H80" s="66"/>
      <c r="I80" s="66"/>
    </row>
    <row r="81" spans="4:9">
      <c r="D81" s="24"/>
      <c r="E81" s="24"/>
      <c r="F81" s="22"/>
      <c r="G81" s="22"/>
      <c r="H81" s="22"/>
      <c r="I81" s="22"/>
    </row>
    <row r="82" spans="4:9">
      <c r="D82" s="26"/>
      <c r="E82" s="26"/>
      <c r="F82" s="26"/>
      <c r="G82" s="26"/>
      <c r="H82" s="26"/>
      <c r="I82" s="26"/>
    </row>
    <row r="83" spans="4:9">
      <c r="D83" s="9"/>
      <c r="E83" s="9"/>
      <c r="F83" s="25"/>
      <c r="G83" s="25"/>
      <c r="H83" s="25"/>
      <c r="I83" s="25"/>
    </row>
    <row r="84" spans="4:9">
      <c r="D84" s="19"/>
      <c r="E84" s="19"/>
      <c r="F84" s="26"/>
      <c r="G84" s="26"/>
      <c r="H84" s="26"/>
      <c r="I84" s="26"/>
    </row>
    <row r="85" spans="4:9">
      <c r="D85" s="9"/>
      <c r="E85" s="9"/>
      <c r="F85" s="25"/>
      <c r="G85" s="25"/>
      <c r="H85" s="25"/>
      <c r="I85" s="25"/>
    </row>
    <row r="86" spans="4:9">
      <c r="D86" s="9"/>
      <c r="E86" s="9"/>
      <c r="F86" s="25"/>
      <c r="G86" s="25"/>
      <c r="H86" s="25"/>
      <c r="I86" s="25"/>
    </row>
    <row r="87" spans="4:9">
      <c r="D87" s="9"/>
      <c r="E87" s="9"/>
      <c r="F87" s="25"/>
      <c r="G87" s="25"/>
      <c r="H87" s="25"/>
      <c r="I87" s="25"/>
    </row>
    <row r="88" spans="4:9">
      <c r="D88" s="9"/>
      <c r="E88" s="9"/>
      <c r="F88" s="25"/>
      <c r="G88" s="25"/>
      <c r="H88" s="25"/>
      <c r="I88" s="25"/>
    </row>
    <row r="89" spans="4:9">
      <c r="D89" s="9"/>
      <c r="E89" s="9"/>
      <c r="F89" s="25"/>
      <c r="G89" s="25"/>
      <c r="H89" s="25"/>
      <c r="I89" s="25"/>
    </row>
    <row r="90" spans="4:9">
      <c r="D90" s="19"/>
      <c r="E90" s="19"/>
      <c r="F90" s="26"/>
      <c r="G90" s="26"/>
      <c r="H90" s="26"/>
      <c r="I90" s="26"/>
    </row>
    <row r="91" spans="4:9">
      <c r="D91" s="24"/>
      <c r="E91" s="24"/>
      <c r="F91" s="1501"/>
      <c r="G91" s="1501"/>
      <c r="H91" s="66"/>
      <c r="I91" s="66"/>
    </row>
    <row r="92" spans="4:9">
      <c r="D92" s="24"/>
      <c r="E92" s="24"/>
      <c r="F92" s="22"/>
      <c r="G92" s="22"/>
      <c r="H92" s="22"/>
      <c r="I92" s="22"/>
    </row>
    <row r="93" spans="4:9">
      <c r="D93" s="26"/>
      <c r="E93" s="26"/>
      <c r="F93" s="26"/>
      <c r="G93" s="26"/>
      <c r="H93" s="26"/>
      <c r="I93" s="26"/>
    </row>
    <row r="94" spans="4:9">
      <c r="D94" s="9"/>
      <c r="E94" s="9"/>
      <c r="F94" s="25"/>
      <c r="G94" s="25"/>
      <c r="H94" s="25"/>
      <c r="I94" s="25"/>
    </row>
    <row r="95" spans="4:9">
      <c r="D95" s="19"/>
      <c r="E95" s="19"/>
      <c r="F95" s="26"/>
      <c r="G95" s="26"/>
      <c r="H95" s="26"/>
      <c r="I95" s="26"/>
    </row>
    <row r="96" spans="4:9">
      <c r="D96" s="9"/>
      <c r="E96" s="9"/>
      <c r="F96" s="25"/>
      <c r="G96" s="25"/>
      <c r="H96" s="25"/>
      <c r="I96" s="25"/>
    </row>
    <row r="97" spans="4:9">
      <c r="D97" s="9"/>
      <c r="E97" s="9"/>
      <c r="F97" s="25"/>
      <c r="G97" s="25"/>
      <c r="H97" s="25"/>
      <c r="I97" s="25"/>
    </row>
    <row r="98" spans="4:9">
      <c r="D98" s="9"/>
      <c r="E98" s="9"/>
      <c r="F98" s="25"/>
      <c r="G98" s="25"/>
      <c r="H98" s="25"/>
      <c r="I98" s="25"/>
    </row>
    <row r="99" spans="4:9">
      <c r="D99" s="9"/>
      <c r="E99" s="9"/>
      <c r="F99" s="25"/>
      <c r="G99" s="25"/>
      <c r="H99" s="25"/>
      <c r="I99" s="25"/>
    </row>
    <row r="100" spans="4:9">
      <c r="D100" s="9"/>
      <c r="E100" s="9"/>
      <c r="F100" s="25"/>
      <c r="G100" s="25"/>
      <c r="H100" s="25"/>
      <c r="I100" s="25"/>
    </row>
    <row r="101" spans="4:9">
      <c r="D101" s="19"/>
      <c r="E101" s="19"/>
      <c r="F101" s="26"/>
      <c r="G101" s="26"/>
      <c r="H101" s="26"/>
      <c r="I101" s="26"/>
    </row>
    <row r="102" spans="4:9">
      <c r="D102" s="24"/>
      <c r="E102" s="24"/>
      <c r="F102" s="1501"/>
      <c r="G102" s="1501"/>
      <c r="H102" s="66"/>
      <c r="I102" s="66"/>
    </row>
    <row r="103" spans="4:9">
      <c r="D103" s="24"/>
      <c r="E103" s="24"/>
      <c r="F103" s="22"/>
      <c r="G103" s="22"/>
      <c r="H103" s="22"/>
      <c r="I103" s="22"/>
    </row>
    <row r="104" spans="4:9">
      <c r="D104" s="26"/>
      <c r="E104" s="26"/>
      <c r="F104" s="26"/>
      <c r="G104" s="26"/>
      <c r="H104" s="26"/>
      <c r="I104" s="26"/>
    </row>
    <row r="105" spans="4:9">
      <c r="D105" s="9"/>
      <c r="E105" s="9"/>
      <c r="F105" s="25"/>
      <c r="G105" s="25"/>
      <c r="H105" s="25"/>
      <c r="I105" s="25"/>
    </row>
    <row r="106" spans="4:9">
      <c r="D106" s="19"/>
      <c r="E106" s="19"/>
      <c r="F106" s="26"/>
      <c r="G106" s="26"/>
      <c r="H106" s="26"/>
      <c r="I106" s="26"/>
    </row>
    <row r="107" spans="4:9">
      <c r="D107" s="9"/>
      <c r="E107" s="9"/>
      <c r="F107" s="25"/>
      <c r="G107" s="25"/>
      <c r="H107" s="25"/>
      <c r="I107" s="25"/>
    </row>
    <row r="108" spans="4:9">
      <c r="D108" s="9"/>
      <c r="E108" s="9"/>
      <c r="F108" s="25"/>
      <c r="G108" s="25"/>
      <c r="H108" s="25"/>
      <c r="I108" s="25"/>
    </row>
    <row r="109" spans="4:9">
      <c r="D109" s="9"/>
      <c r="E109" s="9"/>
      <c r="F109" s="25"/>
      <c r="G109" s="25"/>
      <c r="H109" s="25"/>
      <c r="I109" s="25"/>
    </row>
    <row r="110" spans="4:9">
      <c r="D110" s="9"/>
      <c r="E110" s="9"/>
      <c r="F110" s="25"/>
      <c r="G110" s="25"/>
      <c r="H110" s="25"/>
      <c r="I110" s="25"/>
    </row>
    <row r="111" spans="4:9">
      <c r="D111" s="9"/>
      <c r="E111" s="9"/>
      <c r="F111" s="25"/>
      <c r="G111" s="25"/>
      <c r="H111" s="25"/>
      <c r="I111" s="25"/>
    </row>
    <row r="112" spans="4:9">
      <c r="D112" s="19"/>
      <c r="E112" s="19"/>
      <c r="F112" s="26"/>
      <c r="G112" s="26"/>
      <c r="H112" s="26"/>
      <c r="I112" s="26"/>
    </row>
    <row r="113" spans="4:9">
      <c r="D113" s="24"/>
      <c r="E113" s="24"/>
      <c r="F113" s="1501"/>
      <c r="G113" s="1501"/>
      <c r="H113" s="66"/>
      <c r="I113" s="66"/>
    </row>
    <row r="114" spans="4:9">
      <c r="D114" s="24"/>
      <c r="E114" s="24"/>
      <c r="F114" s="22"/>
      <c r="G114" s="22"/>
      <c r="H114" s="22"/>
      <c r="I114" s="22"/>
    </row>
    <row r="115" spans="4:9">
      <c r="D115" s="26"/>
      <c r="E115" s="26"/>
      <c r="F115" s="26"/>
      <c r="G115" s="26"/>
      <c r="H115" s="26"/>
      <c r="I115" s="26"/>
    </row>
    <row r="116" spans="4:9">
      <c r="D116" s="9"/>
      <c r="E116" s="9"/>
      <c r="F116" s="25"/>
      <c r="G116" s="25"/>
      <c r="H116" s="25"/>
      <c r="I116" s="25"/>
    </row>
    <row r="117" spans="4:9">
      <c r="D117" s="19"/>
      <c r="E117" s="19"/>
      <c r="F117" s="26"/>
      <c r="G117" s="26"/>
      <c r="H117" s="26"/>
      <c r="I117" s="26"/>
    </row>
    <row r="118" spans="4:9">
      <c r="D118" s="9"/>
      <c r="E118" s="9"/>
      <c r="F118" s="25"/>
      <c r="G118" s="25"/>
      <c r="H118" s="25"/>
      <c r="I118" s="25"/>
    </row>
    <row r="119" spans="4:9">
      <c r="D119" s="9"/>
      <c r="E119" s="9"/>
      <c r="F119" s="25"/>
      <c r="G119" s="25"/>
      <c r="H119" s="25"/>
      <c r="I119" s="25"/>
    </row>
    <row r="120" spans="4:9">
      <c r="D120" s="9"/>
      <c r="E120" s="9"/>
      <c r="F120" s="25"/>
      <c r="G120" s="25"/>
      <c r="H120" s="25"/>
      <c r="I120" s="25"/>
    </row>
    <row r="121" spans="4:9">
      <c r="D121" s="9"/>
      <c r="E121" s="9"/>
      <c r="F121" s="25"/>
      <c r="G121" s="25"/>
      <c r="H121" s="25"/>
      <c r="I121" s="25"/>
    </row>
    <row r="122" spans="4:9">
      <c r="D122" s="9"/>
      <c r="E122" s="9"/>
      <c r="F122" s="25"/>
      <c r="G122" s="25"/>
      <c r="H122" s="25"/>
      <c r="I122" s="25"/>
    </row>
    <row r="123" spans="4:9">
      <c r="D123" s="19"/>
      <c r="E123" s="19"/>
      <c r="F123" s="26"/>
      <c r="G123" s="26"/>
      <c r="H123" s="26"/>
      <c r="I123" s="26"/>
    </row>
    <row r="124" spans="4:9">
      <c r="D124" s="24"/>
      <c r="E124" s="24"/>
      <c r="F124" s="1501"/>
      <c r="G124" s="1501"/>
      <c r="H124" s="66"/>
      <c r="I124" s="66"/>
    </row>
    <row r="125" spans="4:9">
      <c r="D125" s="24"/>
      <c r="E125" s="24"/>
      <c r="F125" s="22"/>
      <c r="G125" s="22"/>
      <c r="H125" s="22"/>
      <c r="I125" s="22"/>
    </row>
    <row r="126" spans="4:9">
      <c r="D126" s="26"/>
      <c r="E126" s="26"/>
      <c r="F126" s="26"/>
      <c r="G126" s="26"/>
      <c r="H126" s="26"/>
      <c r="I126" s="26"/>
    </row>
    <row r="127" spans="4:9">
      <c r="D127" s="9"/>
      <c r="E127" s="9"/>
      <c r="F127" s="25"/>
      <c r="G127" s="25"/>
      <c r="H127" s="25"/>
      <c r="I127" s="25"/>
    </row>
    <row r="128" spans="4:9">
      <c r="D128" s="19"/>
      <c r="E128" s="19"/>
      <c r="F128" s="26"/>
      <c r="G128" s="26"/>
      <c r="H128" s="26"/>
      <c r="I128" s="26"/>
    </row>
    <row r="129" spans="4:9">
      <c r="D129" s="9"/>
      <c r="E129" s="9"/>
      <c r="F129" s="25"/>
      <c r="G129" s="25"/>
      <c r="H129" s="25"/>
      <c r="I129" s="25"/>
    </row>
    <row r="130" spans="4:9">
      <c r="D130" s="9"/>
      <c r="E130" s="9"/>
      <c r="F130" s="25"/>
      <c r="G130" s="25"/>
      <c r="H130" s="25"/>
      <c r="I130" s="25"/>
    </row>
    <row r="131" spans="4:9">
      <c r="D131" s="9"/>
      <c r="E131" s="9"/>
      <c r="F131" s="25"/>
      <c r="G131" s="25"/>
      <c r="H131" s="25"/>
      <c r="I131" s="25"/>
    </row>
    <row r="132" spans="4:9">
      <c r="D132" s="9"/>
      <c r="E132" s="9"/>
      <c r="F132" s="25"/>
      <c r="G132" s="25"/>
      <c r="H132" s="25"/>
      <c r="I132" s="25"/>
    </row>
    <row r="133" spans="4:9">
      <c r="D133" s="9"/>
      <c r="E133" s="9"/>
      <c r="F133" s="25"/>
      <c r="G133" s="25"/>
      <c r="H133" s="25"/>
      <c r="I133" s="25"/>
    </row>
    <row r="134" spans="4:9">
      <c r="D134" s="19"/>
      <c r="E134" s="19"/>
      <c r="F134" s="26"/>
      <c r="G134" s="26"/>
      <c r="H134" s="26"/>
      <c r="I134" s="26"/>
    </row>
    <row r="135" spans="4:9">
      <c r="D135" s="24"/>
      <c r="E135" s="24"/>
      <c r="F135" s="1501"/>
      <c r="G135" s="1501"/>
      <c r="H135" s="66"/>
      <c r="I135" s="66"/>
    </row>
    <row r="136" spans="4:9">
      <c r="D136" s="24"/>
      <c r="E136" s="24"/>
      <c r="F136" s="22"/>
      <c r="G136" s="22"/>
      <c r="H136" s="22"/>
      <c r="I136" s="22"/>
    </row>
    <row r="137" spans="4:9">
      <c r="D137" s="26"/>
      <c r="E137" s="26"/>
      <c r="F137" s="26"/>
      <c r="G137" s="26"/>
      <c r="H137" s="26"/>
      <c r="I137" s="26"/>
    </row>
    <row r="138" spans="4:9">
      <c r="D138" s="9"/>
      <c r="E138" s="9"/>
      <c r="F138" s="25"/>
      <c r="G138" s="25"/>
      <c r="H138" s="25"/>
      <c r="I138" s="25"/>
    </row>
    <row r="139" spans="4:9">
      <c r="D139" s="19"/>
      <c r="E139" s="19"/>
      <c r="F139" s="26"/>
      <c r="G139" s="26"/>
      <c r="H139" s="26"/>
      <c r="I139" s="26"/>
    </row>
    <row r="140" spans="4:9">
      <c r="D140" s="9"/>
      <c r="E140" s="9"/>
      <c r="F140" s="25"/>
      <c r="G140" s="25"/>
      <c r="H140" s="25"/>
      <c r="I140" s="25"/>
    </row>
    <row r="141" spans="4:9">
      <c r="D141" s="9"/>
      <c r="E141" s="9"/>
      <c r="F141" s="25"/>
      <c r="G141" s="25"/>
      <c r="H141" s="25"/>
      <c r="I141" s="25"/>
    </row>
    <row r="142" spans="4:9">
      <c r="D142" s="9"/>
      <c r="E142" s="9"/>
      <c r="F142" s="25"/>
      <c r="G142" s="25"/>
      <c r="H142" s="25"/>
      <c r="I142" s="25"/>
    </row>
    <row r="143" spans="4:9">
      <c r="D143" s="9"/>
      <c r="E143" s="9"/>
      <c r="F143" s="25"/>
      <c r="G143" s="25"/>
      <c r="H143" s="25"/>
      <c r="I143" s="25"/>
    </row>
    <row r="144" spans="4:9">
      <c r="D144" s="9"/>
      <c r="E144" s="9"/>
      <c r="F144" s="25"/>
      <c r="G144" s="25"/>
      <c r="H144" s="25"/>
      <c r="I144" s="25"/>
    </row>
    <row r="145" spans="4:9">
      <c r="D145" s="19"/>
      <c r="E145" s="19"/>
      <c r="F145" s="26"/>
      <c r="G145" s="26"/>
      <c r="H145" s="26"/>
      <c r="I145" s="26"/>
    </row>
    <row r="146" spans="4:9">
      <c r="D146" s="24"/>
      <c r="E146" s="24"/>
      <c r="F146" s="1501"/>
      <c r="G146" s="1501"/>
      <c r="H146" s="66"/>
      <c r="I146" s="66"/>
    </row>
    <row r="147" spans="4:9">
      <c r="D147" s="24"/>
      <c r="E147" s="24"/>
      <c r="F147" s="22"/>
      <c r="G147" s="22"/>
      <c r="H147" s="22"/>
      <c r="I147" s="22"/>
    </row>
    <row r="148" spans="4:9">
      <c r="D148" s="26"/>
      <c r="E148" s="26"/>
      <c r="F148" s="26"/>
      <c r="G148" s="26"/>
      <c r="H148" s="26"/>
      <c r="I148" s="26"/>
    </row>
    <row r="149" spans="4:9">
      <c r="D149" s="9"/>
      <c r="E149" s="9"/>
      <c r="F149" s="25"/>
      <c r="G149" s="25"/>
      <c r="H149" s="25"/>
      <c r="I149" s="25"/>
    </row>
    <row r="150" spans="4:9">
      <c r="D150" s="19"/>
      <c r="E150" s="19"/>
      <c r="F150" s="26"/>
      <c r="G150" s="26"/>
      <c r="H150" s="26"/>
      <c r="I150" s="26"/>
    </row>
    <row r="151" spans="4:9">
      <c r="D151" s="9"/>
      <c r="E151" s="9"/>
      <c r="F151" s="25"/>
      <c r="G151" s="25"/>
      <c r="H151" s="25"/>
      <c r="I151" s="25"/>
    </row>
    <row r="152" spans="4:9">
      <c r="D152" s="9"/>
      <c r="E152" s="9"/>
      <c r="F152" s="25"/>
      <c r="G152" s="25"/>
      <c r="H152" s="25"/>
      <c r="I152" s="25"/>
    </row>
    <row r="153" spans="4:9">
      <c r="D153" s="9"/>
      <c r="E153" s="9"/>
      <c r="F153" s="25"/>
      <c r="G153" s="25"/>
      <c r="H153" s="25"/>
      <c r="I153" s="25"/>
    </row>
    <row r="154" spans="4:9">
      <c r="D154" s="9"/>
      <c r="E154" s="9"/>
      <c r="F154" s="25"/>
      <c r="G154" s="25"/>
      <c r="H154" s="25"/>
      <c r="I154" s="25"/>
    </row>
    <row r="155" spans="4:9">
      <c r="D155" s="9"/>
      <c r="E155" s="9"/>
      <c r="F155" s="25"/>
      <c r="G155" s="25"/>
      <c r="H155" s="25"/>
      <c r="I155" s="25"/>
    </row>
    <row r="156" spans="4:9">
      <c r="D156" s="19"/>
      <c r="E156" s="19"/>
      <c r="F156" s="26"/>
      <c r="G156" s="26"/>
      <c r="H156" s="26"/>
      <c r="I156" s="26"/>
    </row>
    <row r="157" spans="4:9">
      <c r="D157" s="24"/>
      <c r="E157" s="24"/>
      <c r="F157" s="1501"/>
      <c r="G157" s="1501"/>
      <c r="H157" s="66"/>
      <c r="I157" s="66"/>
    </row>
    <row r="158" spans="4:9">
      <c r="D158" s="24"/>
      <c r="E158" s="24"/>
      <c r="F158" s="22"/>
      <c r="G158" s="22"/>
      <c r="H158" s="22"/>
      <c r="I158" s="22"/>
    </row>
    <row r="159" spans="4:9">
      <c r="D159" s="26"/>
      <c r="E159" s="26"/>
      <c r="F159" s="26"/>
      <c r="G159" s="26"/>
      <c r="H159" s="26"/>
      <c r="I159" s="26"/>
    </row>
    <row r="160" spans="4:9">
      <c r="D160" s="9"/>
      <c r="E160" s="9"/>
      <c r="F160" s="25"/>
      <c r="G160" s="25"/>
      <c r="H160" s="25"/>
      <c r="I160" s="25"/>
    </row>
    <row r="161" spans="4:9">
      <c r="D161" s="19"/>
      <c r="E161" s="19"/>
      <c r="F161" s="26"/>
      <c r="G161" s="26"/>
      <c r="H161" s="26"/>
      <c r="I161" s="26"/>
    </row>
    <row r="162" spans="4:9">
      <c r="D162" s="9"/>
      <c r="E162" s="9"/>
      <c r="F162" s="25"/>
      <c r="G162" s="25"/>
      <c r="H162" s="25"/>
      <c r="I162" s="25"/>
    </row>
    <row r="163" spans="4:9">
      <c r="D163" s="9"/>
      <c r="E163" s="9"/>
      <c r="F163" s="25"/>
      <c r="G163" s="25"/>
      <c r="H163" s="25"/>
      <c r="I163" s="25"/>
    </row>
    <row r="164" spans="4:9">
      <c r="D164" s="9"/>
      <c r="E164" s="9"/>
      <c r="F164" s="25"/>
      <c r="G164" s="25"/>
      <c r="H164" s="25"/>
      <c r="I164" s="25"/>
    </row>
    <row r="165" spans="4:9">
      <c r="D165" s="9"/>
      <c r="E165" s="9"/>
      <c r="F165" s="25"/>
      <c r="G165" s="25"/>
      <c r="H165" s="25"/>
      <c r="I165" s="25"/>
    </row>
    <row r="166" spans="4:9">
      <c r="D166" s="9"/>
      <c r="E166" s="9"/>
      <c r="F166" s="25"/>
      <c r="G166" s="25"/>
      <c r="H166" s="25"/>
      <c r="I166" s="25"/>
    </row>
    <row r="167" spans="4:9">
      <c r="D167" s="19"/>
      <c r="E167" s="19"/>
      <c r="F167" s="26"/>
      <c r="G167" s="26"/>
      <c r="H167" s="26"/>
      <c r="I167" s="26"/>
    </row>
    <row r="168" spans="4:9">
      <c r="D168" s="24"/>
      <c r="E168" s="24"/>
      <c r="F168" s="1501"/>
      <c r="G168" s="1501"/>
      <c r="H168" s="66"/>
      <c r="I168" s="66"/>
    </row>
    <row r="169" spans="4:9">
      <c r="D169" s="24"/>
      <c r="E169" s="24"/>
      <c r="F169" s="22"/>
      <c r="G169" s="22"/>
      <c r="H169" s="22"/>
      <c r="I169" s="22"/>
    </row>
    <row r="170" spans="4:9">
      <c r="D170" s="26"/>
      <c r="E170" s="26"/>
      <c r="F170" s="26"/>
      <c r="G170" s="26"/>
      <c r="H170" s="26"/>
      <c r="I170" s="26"/>
    </row>
    <row r="171" spans="4:9">
      <c r="D171" s="9"/>
      <c r="E171" s="9"/>
      <c r="F171" s="25"/>
      <c r="G171" s="25"/>
      <c r="H171" s="25"/>
      <c r="I171" s="25"/>
    </row>
    <row r="172" spans="4:9">
      <c r="D172" s="19"/>
      <c r="E172" s="19"/>
      <c r="F172" s="26"/>
      <c r="G172" s="26"/>
      <c r="H172" s="26"/>
      <c r="I172" s="26"/>
    </row>
    <row r="173" spans="4:9">
      <c r="D173" s="9"/>
      <c r="E173" s="9"/>
      <c r="F173" s="25"/>
      <c r="G173" s="25"/>
      <c r="H173" s="25"/>
      <c r="I173" s="25"/>
    </row>
    <row r="174" spans="4:9">
      <c r="D174" s="9"/>
      <c r="E174" s="9"/>
      <c r="F174" s="25"/>
      <c r="G174" s="25"/>
      <c r="H174" s="25"/>
      <c r="I174" s="25"/>
    </row>
    <row r="175" spans="4:9">
      <c r="D175" s="9"/>
      <c r="E175" s="9"/>
      <c r="F175" s="25"/>
      <c r="G175" s="25"/>
      <c r="H175" s="25"/>
      <c r="I175" s="25"/>
    </row>
    <row r="176" spans="4:9">
      <c r="D176" s="9"/>
      <c r="E176" s="9"/>
      <c r="F176" s="25"/>
      <c r="G176" s="25"/>
      <c r="H176" s="25"/>
      <c r="I176" s="25"/>
    </row>
    <row r="177" spans="4:9">
      <c r="D177" s="9"/>
      <c r="E177" s="9"/>
      <c r="F177" s="25"/>
      <c r="G177" s="25"/>
      <c r="H177" s="25"/>
      <c r="I177" s="25"/>
    </row>
    <row r="178" spans="4:9">
      <c r="D178" s="19"/>
      <c r="E178" s="19"/>
      <c r="F178" s="26"/>
      <c r="G178" s="26"/>
      <c r="H178" s="26"/>
      <c r="I178" s="26"/>
    </row>
    <row r="179" spans="4:9">
      <c r="D179" s="24"/>
      <c r="E179" s="24"/>
      <c r="F179" s="1501"/>
      <c r="G179" s="1501"/>
      <c r="H179" s="66"/>
      <c r="I179" s="66"/>
    </row>
    <row r="180" spans="4:9">
      <c r="D180" s="24"/>
      <c r="E180" s="24"/>
      <c r="F180" s="22"/>
      <c r="G180" s="22"/>
      <c r="H180" s="22"/>
      <c r="I180" s="22"/>
    </row>
    <row r="181" spans="4:9">
      <c r="D181" s="26"/>
      <c r="E181" s="26"/>
      <c r="F181" s="26"/>
      <c r="G181" s="26"/>
      <c r="H181" s="26"/>
      <c r="I181" s="26"/>
    </row>
    <row r="182" spans="4:9">
      <c r="D182" s="9"/>
      <c r="E182" s="9"/>
      <c r="F182" s="25"/>
      <c r="G182" s="25"/>
      <c r="H182" s="25"/>
      <c r="I182" s="25"/>
    </row>
    <row r="183" spans="4:9">
      <c r="D183" s="19"/>
      <c r="E183" s="19"/>
      <c r="F183" s="26"/>
      <c r="G183" s="26"/>
      <c r="H183" s="26"/>
      <c r="I183" s="26"/>
    </row>
    <row r="184" spans="4:9">
      <c r="D184" s="9"/>
      <c r="E184" s="9"/>
      <c r="F184" s="25"/>
      <c r="G184" s="25"/>
      <c r="H184" s="25"/>
      <c r="I184" s="25"/>
    </row>
    <row r="185" spans="4:9">
      <c r="D185" s="9"/>
      <c r="E185" s="9"/>
      <c r="F185" s="25"/>
      <c r="G185" s="25"/>
      <c r="H185" s="25"/>
      <c r="I185" s="25"/>
    </row>
    <row r="186" spans="4:9">
      <c r="D186" s="9"/>
      <c r="E186" s="9"/>
      <c r="F186" s="25"/>
      <c r="G186" s="25"/>
      <c r="H186" s="25"/>
      <c r="I186" s="25"/>
    </row>
    <row r="187" spans="4:9">
      <c r="D187" s="9"/>
      <c r="E187" s="9"/>
      <c r="F187" s="25"/>
      <c r="G187" s="25"/>
      <c r="H187" s="25"/>
      <c r="I187" s="25"/>
    </row>
    <row r="188" spans="4:9">
      <c r="D188" s="9"/>
      <c r="E188" s="9"/>
      <c r="F188" s="25"/>
      <c r="G188" s="25"/>
      <c r="H188" s="25"/>
      <c r="I188" s="25"/>
    </row>
    <row r="189" spans="4:9">
      <c r="D189" s="19"/>
      <c r="E189" s="19"/>
      <c r="F189" s="26"/>
      <c r="G189" s="26"/>
      <c r="H189" s="26"/>
      <c r="I189" s="26"/>
    </row>
    <row r="190" spans="4:9">
      <c r="D190" s="24"/>
      <c r="E190" s="24"/>
      <c r="F190" s="1501"/>
      <c r="G190" s="1501"/>
      <c r="H190" s="66"/>
      <c r="I190" s="66"/>
    </row>
    <row r="191" spans="4:9">
      <c r="D191" s="24"/>
      <c r="E191" s="24"/>
      <c r="F191" s="22"/>
      <c r="G191" s="22"/>
      <c r="H191" s="22"/>
      <c r="I191" s="22"/>
    </row>
    <row r="192" spans="4:9">
      <c r="D192" s="26"/>
      <c r="E192" s="26"/>
      <c r="F192" s="26"/>
      <c r="G192" s="26"/>
      <c r="H192" s="26"/>
      <c r="I192" s="26"/>
    </row>
    <row r="193" spans="4:9">
      <c r="D193" s="9"/>
      <c r="E193" s="9"/>
      <c r="F193" s="25"/>
      <c r="G193" s="25"/>
      <c r="H193" s="25"/>
      <c r="I193" s="25"/>
    </row>
    <row r="194" spans="4:9">
      <c r="D194" s="19"/>
      <c r="E194" s="19"/>
      <c r="F194" s="26"/>
      <c r="G194" s="26"/>
      <c r="H194" s="26"/>
      <c r="I194" s="26"/>
    </row>
    <row r="195" spans="4:9">
      <c r="D195" s="9"/>
      <c r="E195" s="9"/>
      <c r="F195" s="25"/>
      <c r="G195" s="25"/>
      <c r="H195" s="25"/>
      <c r="I195" s="25"/>
    </row>
    <row r="196" spans="4:9">
      <c r="D196" s="9"/>
      <c r="E196" s="9"/>
      <c r="F196" s="25"/>
      <c r="G196" s="25"/>
      <c r="H196" s="25"/>
      <c r="I196" s="25"/>
    </row>
    <row r="197" spans="4:9">
      <c r="D197" s="9"/>
      <c r="E197" s="9"/>
      <c r="F197" s="25"/>
      <c r="G197" s="25"/>
      <c r="H197" s="25"/>
      <c r="I197" s="25"/>
    </row>
    <row r="198" spans="4:9">
      <c r="D198" s="9"/>
      <c r="E198" s="9"/>
      <c r="F198" s="25"/>
      <c r="G198" s="25"/>
      <c r="H198" s="25"/>
      <c r="I198" s="25"/>
    </row>
    <row r="199" spans="4:9">
      <c r="D199" s="9"/>
      <c r="E199" s="9"/>
      <c r="F199" s="25"/>
      <c r="G199" s="25"/>
      <c r="H199" s="25"/>
      <c r="I199" s="25"/>
    </row>
    <row r="200" spans="4:9">
      <c r="D200" s="19"/>
      <c r="E200" s="19"/>
      <c r="F200" s="26"/>
      <c r="G200" s="26"/>
      <c r="H200" s="26"/>
      <c r="I200" s="26"/>
    </row>
    <row r="201" spans="4:9">
      <c r="D201" s="24"/>
      <c r="E201" s="24"/>
      <c r="F201" s="1501"/>
      <c r="G201" s="1501"/>
      <c r="H201" s="66"/>
      <c r="I201" s="66"/>
    </row>
    <row r="202" spans="4:9">
      <c r="D202" s="24"/>
      <c r="E202" s="24"/>
      <c r="F202" s="22"/>
      <c r="G202" s="22"/>
      <c r="H202" s="22"/>
      <c r="I202" s="22"/>
    </row>
    <row r="203" spans="4:9">
      <c r="D203" s="26"/>
      <c r="E203" s="26"/>
      <c r="F203" s="26"/>
      <c r="G203" s="26"/>
      <c r="H203" s="26"/>
      <c r="I203" s="26"/>
    </row>
    <row r="204" spans="4:9">
      <c r="D204" s="9"/>
      <c r="E204" s="9"/>
      <c r="F204" s="25"/>
      <c r="G204" s="25"/>
      <c r="H204" s="25"/>
      <c r="I204" s="25"/>
    </row>
    <row r="205" spans="4:9">
      <c r="D205" s="19"/>
      <c r="E205" s="19"/>
      <c r="F205" s="26"/>
      <c r="G205" s="26"/>
      <c r="H205" s="26"/>
      <c r="I205" s="26"/>
    </row>
    <row r="206" spans="4:9">
      <c r="D206" s="9"/>
      <c r="E206" s="9"/>
      <c r="F206" s="25"/>
      <c r="G206" s="25"/>
      <c r="H206" s="25"/>
      <c r="I206" s="25"/>
    </row>
    <row r="207" spans="4:9">
      <c r="D207" s="9"/>
      <c r="E207" s="9"/>
      <c r="F207" s="25"/>
      <c r="G207" s="25"/>
      <c r="H207" s="25"/>
      <c r="I207" s="25"/>
    </row>
  </sheetData>
  <mergeCells count="30">
    <mergeCell ref="J7:J8"/>
    <mergeCell ref="I7:I8"/>
    <mergeCell ref="F113:G113"/>
    <mergeCell ref="F47:G47"/>
    <mergeCell ref="F36:G36"/>
    <mergeCell ref="B32:H33"/>
    <mergeCell ref="B21:H21"/>
    <mergeCell ref="B25:H25"/>
    <mergeCell ref="F58:G58"/>
    <mergeCell ref="F102:G102"/>
    <mergeCell ref="F80:G80"/>
    <mergeCell ref="F91:G91"/>
    <mergeCell ref="F124:G124"/>
    <mergeCell ref="F69:G69"/>
    <mergeCell ref="I1:J1"/>
    <mergeCell ref="H31:J31"/>
    <mergeCell ref="F201:G201"/>
    <mergeCell ref="F157:G157"/>
    <mergeCell ref="F168:G168"/>
    <mergeCell ref="F179:G179"/>
    <mergeCell ref="F190:G190"/>
    <mergeCell ref="B2:H2"/>
    <mergeCell ref="B3:H3"/>
    <mergeCell ref="F146:G146"/>
    <mergeCell ref="F135:G135"/>
    <mergeCell ref="E7:E8"/>
    <mergeCell ref="B7:B8"/>
    <mergeCell ref="C7:C8"/>
    <mergeCell ref="F7:H7"/>
    <mergeCell ref="D7:D8"/>
  </mergeCells>
  <phoneticPr fontId="0" type="noConversion"/>
  <conditionalFormatting sqref="F8:G8">
    <cfRule type="expression" dxfId="13" priority="9" stopIfTrue="1">
      <formula>ABS(#REF!-($F8+$H8+#REF!+#REF!))&gt;отклонение</formula>
    </cfRule>
  </conditionalFormatting>
  <conditionalFormatting sqref="F203:I207 F192:I200 F181:I189 F170:I178 F159:I167 F137:I145 F148:I156 F38:I46 F49:I57 F60:I68 F71:I79 F82:I90 F93:I101 F104:I112 F115:I123 F126:I134 F34:I35">
    <cfRule type="expression" dxfId="12" priority="58" stopIfTrue="1">
      <formula>$D34-(#REF!+$F34+$G34+$J34)&lt;&gt;0</formula>
    </cfRule>
  </conditionalFormatting>
  <pageMargins left="0.82" right="0.39370078740157483" top="0.95" bottom="0.39370078740157483" header="0.51181102362204722" footer="0.51181102362204722"/>
  <pageSetup paperSize="9" scale="57" fitToHeight="0" orientation="landscape" horizontalDpi="300" verticalDpi="300" r:id="rId1"/>
  <headerFooter alignWithMargins="0"/>
  <rowBreaks count="1" manualBreakCount="1">
    <brk id="33" min="1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B1:Q43"/>
  <sheetViews>
    <sheetView topLeftCell="E1" zoomScaleSheetLayoutView="80" workbookViewId="0">
      <selection activeCell="E1" sqref="B1:Q30"/>
    </sheetView>
  </sheetViews>
  <sheetFormatPr defaultRowHeight="12.75"/>
  <cols>
    <col min="1" max="1" width="1.7109375" customWidth="1"/>
    <col min="2" max="2" width="44.85546875" customWidth="1"/>
    <col min="3" max="3" width="10.7109375" customWidth="1"/>
    <col min="4" max="4" width="13" customWidth="1"/>
    <col min="5" max="5" width="15.140625" customWidth="1"/>
    <col min="6" max="9" width="13" customWidth="1"/>
    <col min="10" max="10" width="10.7109375" customWidth="1"/>
    <col min="11" max="12" width="13" customWidth="1"/>
    <col min="13" max="13" width="15" customWidth="1"/>
    <col min="14" max="15" width="13" customWidth="1"/>
  </cols>
  <sheetData>
    <row r="1" spans="2:17" ht="14.25">
      <c r="M1" s="1429" t="s">
        <v>201</v>
      </c>
      <c r="N1" s="1429"/>
      <c r="O1" s="1516"/>
      <c r="P1" s="1516"/>
    </row>
    <row r="2" spans="2:17" ht="51.75" customHeight="1">
      <c r="B2" s="1519" t="s">
        <v>920</v>
      </c>
      <c r="C2" s="1519"/>
      <c r="D2" s="1519"/>
      <c r="E2" s="1519"/>
      <c r="F2" s="1519"/>
      <c r="G2" s="1519"/>
      <c r="H2" s="1519"/>
      <c r="I2" s="1519"/>
      <c r="J2" s="1519"/>
      <c r="K2" s="1519"/>
      <c r="L2" s="1519"/>
      <c r="M2" s="1519"/>
      <c r="N2" s="1519"/>
      <c r="O2" s="1519"/>
    </row>
    <row r="3" spans="2:17" ht="17.25" customHeight="1">
      <c r="B3" s="1519"/>
      <c r="C3" s="1519"/>
      <c r="D3" s="1519"/>
      <c r="E3" s="1519"/>
      <c r="F3" s="1519"/>
      <c r="G3" s="1519"/>
      <c r="H3" s="1519"/>
      <c r="I3" s="1519"/>
      <c r="J3" s="1519"/>
      <c r="K3" s="1519"/>
      <c r="L3" s="1519"/>
      <c r="M3" s="1519"/>
      <c r="N3" s="1519"/>
      <c r="O3" s="1519"/>
    </row>
    <row r="4" spans="2:17" ht="42.75" customHeight="1">
      <c r="B4" s="917" t="s">
        <v>1001</v>
      </c>
      <c r="C4" s="919">
        <f>SUM(E4:I4)</f>
        <v>0.99999999999999978</v>
      </c>
      <c r="D4" s="919">
        <f>E4+F4+G4</f>
        <v>0.93288361254629071</v>
      </c>
      <c r="E4" s="920">
        <f>'ЗП_Всього по під-ву'!E28</f>
        <v>0.63011305768372172</v>
      </c>
      <c r="F4" s="920">
        <f>'ЗП_Всього по під-ву'!F28</f>
        <v>0.18028314775954987</v>
      </c>
      <c r="G4" s="920">
        <f>'ЗП_Всього по під-ву'!G28</f>
        <v>0.12248740710301914</v>
      </c>
      <c r="H4" s="920">
        <f>'ЗП_Всього по під-ву'!H28</f>
        <v>3.3558193726854556E-2</v>
      </c>
      <c r="I4" s="920">
        <f>'ЗП_Всього по під-ву'!I28</f>
        <v>3.3558193726854556E-2</v>
      </c>
      <c r="J4" s="934"/>
      <c r="K4" s="934"/>
      <c r="L4" s="934"/>
      <c r="M4" s="934"/>
      <c r="N4" s="934"/>
      <c r="O4" s="934"/>
    </row>
    <row r="5" spans="2:17" ht="27.75" customHeight="1">
      <c r="B5" s="917" t="s">
        <v>1000</v>
      </c>
      <c r="C5" s="919">
        <f>SUM(E5:G5)</f>
        <v>1</v>
      </c>
      <c r="D5" s="919"/>
      <c r="E5" s="920">
        <f>Прямі!$D$72</f>
        <v>0.85609607848743829</v>
      </c>
      <c r="F5" s="920">
        <f>Прямі!$E$72</f>
        <v>0.12037307533290731</v>
      </c>
      <c r="G5" s="920">
        <f>Прямі!$F$72</f>
        <v>2.3530846179654386E-2</v>
      </c>
      <c r="H5" s="922"/>
      <c r="I5" s="922"/>
      <c r="J5" s="931"/>
      <c r="K5" s="932"/>
      <c r="L5" s="932"/>
      <c r="M5" s="933"/>
      <c r="N5" s="933"/>
      <c r="O5" s="933"/>
    </row>
    <row r="6" spans="2:17" ht="31.5" customHeight="1">
      <c r="B6" s="917" t="s">
        <v>993</v>
      </c>
      <c r="C6" s="929"/>
      <c r="D6" s="929"/>
      <c r="E6" s="919">
        <f>E5</f>
        <v>0.85609607848743829</v>
      </c>
      <c r="F6" s="919">
        <f>F5</f>
        <v>0.12037307533290731</v>
      </c>
      <c r="G6" s="919">
        <f>G5</f>
        <v>2.3530846179654386E-2</v>
      </c>
      <c r="H6" s="924"/>
      <c r="I6" s="924"/>
      <c r="J6" s="931"/>
      <c r="K6" s="932"/>
      <c r="L6" s="932"/>
      <c r="M6" s="933"/>
      <c r="N6" s="933"/>
      <c r="O6" s="933"/>
    </row>
    <row r="7" spans="2:17" s="714" customFormat="1" ht="44.25" customHeight="1">
      <c r="B7" s="1522" t="s">
        <v>701</v>
      </c>
      <c r="C7" s="1512" t="s">
        <v>672</v>
      </c>
      <c r="D7" s="1513"/>
      <c r="E7" s="1513"/>
      <c r="F7" s="1513"/>
      <c r="G7" s="1513"/>
      <c r="H7" s="1513"/>
      <c r="I7" s="1514"/>
      <c r="J7" s="1515" t="s">
        <v>673</v>
      </c>
      <c r="K7" s="1515" t="s">
        <v>674</v>
      </c>
      <c r="L7" s="1515"/>
      <c r="M7" s="1515"/>
      <c r="N7" s="1515"/>
      <c r="O7" s="1515"/>
      <c r="P7" s="1515"/>
      <c r="Q7" s="1515"/>
    </row>
    <row r="8" spans="2:17" s="714" customFormat="1" ht="116.25" customHeight="1">
      <c r="B8" s="1522"/>
      <c r="C8" s="930" t="s">
        <v>199</v>
      </c>
      <c r="D8" s="930" t="s">
        <v>379</v>
      </c>
      <c r="E8" s="930" t="s">
        <v>712</v>
      </c>
      <c r="F8" s="930" t="s">
        <v>620</v>
      </c>
      <c r="G8" s="930" t="s">
        <v>713</v>
      </c>
      <c r="H8" s="930" t="s">
        <v>989</v>
      </c>
      <c r="I8" s="930" t="s">
        <v>1002</v>
      </c>
      <c r="J8" s="1515"/>
      <c r="K8" s="930" t="s">
        <v>200</v>
      </c>
      <c r="L8" s="146" t="s">
        <v>379</v>
      </c>
      <c r="M8" s="930" t="s">
        <v>712</v>
      </c>
      <c r="N8" s="930" t="s">
        <v>620</v>
      </c>
      <c r="O8" s="930" t="s">
        <v>713</v>
      </c>
      <c r="P8" s="930" t="s">
        <v>989</v>
      </c>
      <c r="Q8" s="930" t="s">
        <v>1002</v>
      </c>
    </row>
    <row r="9" spans="2:17" s="97" customFormat="1" ht="25.5" customHeight="1">
      <c r="B9" s="119" t="s">
        <v>508</v>
      </c>
      <c r="C9" s="665">
        <f>C10</f>
        <v>5707</v>
      </c>
      <c r="D9" s="665">
        <f t="shared" ref="D9:I9" si="0">D10</f>
        <v>5676.7976256458305</v>
      </c>
      <c r="E9" s="665">
        <f t="shared" si="0"/>
        <v>1979.3871010737334</v>
      </c>
      <c r="F9" s="665">
        <f t="shared" si="0"/>
        <v>3687.5323312164414</v>
      </c>
      <c r="G9" s="665">
        <f t="shared" si="0"/>
        <v>9.8781933556561796</v>
      </c>
      <c r="H9" s="665">
        <f t="shared" si="0"/>
        <v>15.101187177084551</v>
      </c>
      <c r="I9" s="665">
        <f t="shared" si="0"/>
        <v>15.101187177084551</v>
      </c>
      <c r="J9" s="666"/>
      <c r="K9" s="667">
        <f t="shared" ref="K9:Q9" si="1">K10+K11</f>
        <v>204.02525</v>
      </c>
      <c r="L9" s="667">
        <f t="shared" si="1"/>
        <v>202.94551511683844</v>
      </c>
      <c r="M9" s="667">
        <f t="shared" si="1"/>
        <v>70.763088863385974</v>
      </c>
      <c r="N9" s="667">
        <f t="shared" si="1"/>
        <v>131.82928084098776</v>
      </c>
      <c r="O9" s="667">
        <f t="shared" si="1"/>
        <v>0.35314541246470843</v>
      </c>
      <c r="P9" s="667">
        <f t="shared" si="1"/>
        <v>0.53986744158077271</v>
      </c>
      <c r="Q9" s="667">
        <f t="shared" si="1"/>
        <v>0.53986744158077271</v>
      </c>
    </row>
    <row r="10" spans="2:17" s="97" customFormat="1" ht="23.25" customHeight="1">
      <c r="B10" s="103" t="s">
        <v>502</v>
      </c>
      <c r="C10" s="668">
        <f t="shared" ref="C10:I10" si="2">C12+C19+C21</f>
        <v>5707</v>
      </c>
      <c r="D10" s="668">
        <f t="shared" si="2"/>
        <v>5676.7976256458305</v>
      </c>
      <c r="E10" s="668">
        <f t="shared" si="2"/>
        <v>1979.3871010737334</v>
      </c>
      <c r="F10" s="668">
        <f t="shared" si="2"/>
        <v>3687.5323312164414</v>
      </c>
      <c r="G10" s="668">
        <f t="shared" si="2"/>
        <v>9.8781933556561796</v>
      </c>
      <c r="H10" s="668">
        <f t="shared" si="2"/>
        <v>15.101187177084551</v>
      </c>
      <c r="I10" s="668">
        <f t="shared" si="2"/>
        <v>15.101187177084551</v>
      </c>
      <c r="J10" s="668">
        <v>35.75</v>
      </c>
      <c r="K10" s="669">
        <f t="shared" ref="K10:Q10" si="3">K12+K19+K21</f>
        <v>204.02525</v>
      </c>
      <c r="L10" s="669">
        <f t="shared" si="3"/>
        <v>202.94551511683844</v>
      </c>
      <c r="M10" s="669">
        <f t="shared" si="3"/>
        <v>70.763088863385974</v>
      </c>
      <c r="N10" s="669">
        <f t="shared" si="3"/>
        <v>131.82928084098776</v>
      </c>
      <c r="O10" s="669">
        <f t="shared" si="3"/>
        <v>0.35314541246470843</v>
      </c>
      <c r="P10" s="669">
        <f t="shared" si="3"/>
        <v>0.53986744158077271</v>
      </c>
      <c r="Q10" s="669">
        <f t="shared" si="3"/>
        <v>0.53986744158077271</v>
      </c>
    </row>
    <row r="11" spans="2:17" s="97" customFormat="1" ht="19.5" customHeight="1">
      <c r="B11" s="103" t="s">
        <v>503</v>
      </c>
      <c r="C11" s="668">
        <f t="shared" ref="C11:I11" si="4">C18+C20+C22</f>
        <v>0</v>
      </c>
      <c r="D11" s="668">
        <f t="shared" si="4"/>
        <v>0</v>
      </c>
      <c r="E11" s="668">
        <f t="shared" si="4"/>
        <v>0</v>
      </c>
      <c r="F11" s="668">
        <f t="shared" si="4"/>
        <v>0</v>
      </c>
      <c r="G11" s="668">
        <f t="shared" si="4"/>
        <v>0</v>
      </c>
      <c r="H11" s="668">
        <f t="shared" si="4"/>
        <v>0</v>
      </c>
      <c r="I11" s="668">
        <f t="shared" si="4"/>
        <v>0</v>
      </c>
      <c r="J11" s="668">
        <v>29.8</v>
      </c>
      <c r="K11" s="669">
        <f t="shared" ref="K11:Q11" si="5">K18+K20+K22</f>
        <v>0</v>
      </c>
      <c r="L11" s="669">
        <f t="shared" si="5"/>
        <v>0</v>
      </c>
      <c r="M11" s="669">
        <f t="shared" si="5"/>
        <v>0</v>
      </c>
      <c r="N11" s="669">
        <f t="shared" si="5"/>
        <v>0</v>
      </c>
      <c r="O11" s="669">
        <f t="shared" si="5"/>
        <v>0</v>
      </c>
      <c r="P11" s="669">
        <f t="shared" si="5"/>
        <v>0</v>
      </c>
      <c r="Q11" s="669">
        <f t="shared" si="5"/>
        <v>0</v>
      </c>
    </row>
    <row r="12" spans="2:17" s="97" customFormat="1" ht="34.5" customHeight="1">
      <c r="B12" s="102" t="s">
        <v>405</v>
      </c>
      <c r="C12" s="105">
        <f t="shared" ref="C12:I12" si="6">SUM(C13:C17)</f>
        <v>5257</v>
      </c>
      <c r="D12" s="105">
        <f t="shared" si="6"/>
        <v>5257</v>
      </c>
      <c r="E12" s="105">
        <f t="shared" si="6"/>
        <v>1620</v>
      </c>
      <c r="F12" s="706">
        <f t="shared" si="6"/>
        <v>3637</v>
      </c>
      <c r="G12" s="706">
        <f t="shared" si="6"/>
        <v>0</v>
      </c>
      <c r="H12" s="706">
        <f t="shared" si="6"/>
        <v>0</v>
      </c>
      <c r="I12" s="706">
        <f t="shared" si="6"/>
        <v>0</v>
      </c>
      <c r="J12" s="1237">
        <v>35.75</v>
      </c>
      <c r="K12" s="761">
        <f t="shared" ref="K12:K18" si="7">C12*J12/1000</f>
        <v>187.93774999999999</v>
      </c>
      <c r="L12" s="708">
        <f t="shared" ref="L12:Q12" si="8">SUM(L13:L17)</f>
        <v>187.93774999999999</v>
      </c>
      <c r="M12" s="708">
        <f t="shared" si="8"/>
        <v>57.914999999999999</v>
      </c>
      <c r="N12" s="708">
        <f t="shared" si="8"/>
        <v>130.02275</v>
      </c>
      <c r="O12" s="708">
        <f t="shared" si="8"/>
        <v>0</v>
      </c>
      <c r="P12" s="708">
        <f t="shared" si="8"/>
        <v>0</v>
      </c>
      <c r="Q12" s="708">
        <f t="shared" si="8"/>
        <v>0</v>
      </c>
    </row>
    <row r="13" spans="2:17" s="97" customFormat="1" ht="15.75" customHeight="1">
      <c r="B13" s="539" t="s">
        <v>622</v>
      </c>
      <c r="C13" s="670">
        <f t="shared" ref="C13:C18" si="9">D13</f>
        <v>302</v>
      </c>
      <c r="D13" s="670">
        <f>E13+F13+G13</f>
        <v>302</v>
      </c>
      <c r="E13" s="671">
        <v>0</v>
      </c>
      <c r="F13" s="709">
        <v>302</v>
      </c>
      <c r="G13" s="705">
        <v>0</v>
      </c>
      <c r="H13" s="705">
        <v>0</v>
      </c>
      <c r="I13" s="705">
        <v>0</v>
      </c>
      <c r="J13" s="707">
        <v>35.75</v>
      </c>
      <c r="K13" s="710">
        <f t="shared" si="7"/>
        <v>10.7965</v>
      </c>
      <c r="L13" s="710">
        <f>M13+N13+O13</f>
        <v>10.7965</v>
      </c>
      <c r="M13" s="710">
        <f>E13*J13/1000</f>
        <v>0</v>
      </c>
      <c r="N13" s="710">
        <f>F13*$J13/1000</f>
        <v>10.7965</v>
      </c>
      <c r="O13" s="711">
        <v>0</v>
      </c>
      <c r="P13" s="711">
        <v>0</v>
      </c>
      <c r="Q13" s="711">
        <v>0</v>
      </c>
    </row>
    <row r="14" spans="2:17" s="1" customFormat="1" ht="18.75" customHeight="1">
      <c r="B14" s="539" t="s">
        <v>706</v>
      </c>
      <c r="C14" s="670">
        <f t="shared" si="9"/>
        <v>3335</v>
      </c>
      <c r="D14" s="670">
        <f>E14+F14+G14</f>
        <v>3335</v>
      </c>
      <c r="E14" s="671">
        <v>0</v>
      </c>
      <c r="F14" s="709">
        <v>3335</v>
      </c>
      <c r="G14" s="705">
        <v>0</v>
      </c>
      <c r="H14" s="705">
        <v>0</v>
      </c>
      <c r="I14" s="705">
        <v>0</v>
      </c>
      <c r="J14" s="707">
        <v>35.75</v>
      </c>
      <c r="K14" s="710">
        <f t="shared" si="7"/>
        <v>119.22624999999999</v>
      </c>
      <c r="L14" s="710">
        <f>M14+N14+O14</f>
        <v>119.22624999999999</v>
      </c>
      <c r="M14" s="710">
        <f>E14*J14/1000</f>
        <v>0</v>
      </c>
      <c r="N14" s="710">
        <f>F14*$J14/1000</f>
        <v>119.22624999999999</v>
      </c>
      <c r="O14" s="711">
        <v>0</v>
      </c>
      <c r="P14" s="711">
        <v>0</v>
      </c>
      <c r="Q14" s="711">
        <v>0</v>
      </c>
    </row>
    <row r="15" spans="2:17" s="1" customFormat="1" ht="17.25" customHeight="1">
      <c r="B15" s="539" t="s">
        <v>623</v>
      </c>
      <c r="C15" s="670">
        <f t="shared" si="9"/>
        <v>0</v>
      </c>
      <c r="D15" s="670">
        <f>E15+F15+G15</f>
        <v>0</v>
      </c>
      <c r="E15" s="671">
        <v>0</v>
      </c>
      <c r="F15" s="705">
        <v>0</v>
      </c>
      <c r="G15" s="705">
        <v>0</v>
      </c>
      <c r="H15" s="705">
        <v>0</v>
      </c>
      <c r="I15" s="705">
        <v>0</v>
      </c>
      <c r="J15" s="707">
        <v>35.75</v>
      </c>
      <c r="K15" s="710">
        <f t="shared" si="7"/>
        <v>0</v>
      </c>
      <c r="L15" s="710">
        <f>M15+N15+O15</f>
        <v>0</v>
      </c>
      <c r="M15" s="710">
        <f>E15*J15/1000</f>
        <v>0</v>
      </c>
      <c r="N15" s="710">
        <f>E15*$J15/1000</f>
        <v>0</v>
      </c>
      <c r="O15" s="711">
        <v>0</v>
      </c>
      <c r="P15" s="711">
        <v>0</v>
      </c>
      <c r="Q15" s="711">
        <v>0</v>
      </c>
    </row>
    <row r="16" spans="2:17" s="97" customFormat="1" ht="27.75" customHeight="1">
      <c r="B16" s="539" t="s">
        <v>624</v>
      </c>
      <c r="C16" s="670">
        <f t="shared" si="9"/>
        <v>0</v>
      </c>
      <c r="D16" s="670">
        <f>E16+F16+G16</f>
        <v>0</v>
      </c>
      <c r="E16" s="671">
        <v>0</v>
      </c>
      <c r="F16" s="705">
        <v>0</v>
      </c>
      <c r="G16" s="705">
        <v>0</v>
      </c>
      <c r="H16" s="705">
        <v>0</v>
      </c>
      <c r="I16" s="705">
        <v>0</v>
      </c>
      <c r="J16" s="707">
        <v>35.75</v>
      </c>
      <c r="K16" s="710">
        <f t="shared" si="7"/>
        <v>0</v>
      </c>
      <c r="L16" s="710">
        <f>M16+N16+O16</f>
        <v>0</v>
      </c>
      <c r="M16" s="710">
        <f>E16*J16/1000</f>
        <v>0</v>
      </c>
      <c r="N16" s="710">
        <f>E16*$J16/1000</f>
        <v>0</v>
      </c>
      <c r="O16" s="711">
        <v>0</v>
      </c>
      <c r="P16" s="711">
        <v>0</v>
      </c>
      <c r="Q16" s="711">
        <v>0</v>
      </c>
    </row>
    <row r="17" spans="2:17" s="97" customFormat="1" ht="14.25" customHeight="1">
      <c r="B17" s="104" t="s">
        <v>651</v>
      </c>
      <c r="C17" s="670">
        <f t="shared" si="9"/>
        <v>1620</v>
      </c>
      <c r="D17" s="670">
        <f>E17+F17+G17</f>
        <v>1620</v>
      </c>
      <c r="E17" s="671">
        <v>1620</v>
      </c>
      <c r="F17" s="705">
        <v>0</v>
      </c>
      <c r="G17" s="705">
        <v>0</v>
      </c>
      <c r="H17" s="705">
        <v>0</v>
      </c>
      <c r="I17" s="705">
        <v>0</v>
      </c>
      <c r="J17" s="707">
        <v>35.75</v>
      </c>
      <c r="K17" s="710">
        <f t="shared" si="7"/>
        <v>57.914999999999999</v>
      </c>
      <c r="L17" s="710">
        <f>K17</f>
        <v>57.914999999999999</v>
      </c>
      <c r="M17" s="710">
        <f>E17*J17/1000</f>
        <v>57.914999999999999</v>
      </c>
      <c r="N17" s="711">
        <v>0</v>
      </c>
      <c r="O17" s="711">
        <v>0</v>
      </c>
      <c r="P17" s="711">
        <v>0</v>
      </c>
      <c r="Q17" s="711">
        <v>0</v>
      </c>
    </row>
    <row r="18" spans="2:17" s="97" customFormat="1" ht="30.75" customHeight="1">
      <c r="B18" s="102" t="s">
        <v>749</v>
      </c>
      <c r="C18" s="105">
        <f t="shared" si="9"/>
        <v>0</v>
      </c>
      <c r="D18" s="105">
        <v>0</v>
      </c>
      <c r="E18" s="105">
        <v>0</v>
      </c>
      <c r="F18" s="935">
        <v>0</v>
      </c>
      <c r="G18" s="935">
        <v>0</v>
      </c>
      <c r="H18" s="935">
        <v>0</v>
      </c>
      <c r="I18" s="935">
        <v>0</v>
      </c>
      <c r="J18" s="936">
        <v>29.8</v>
      </c>
      <c r="K18" s="712">
        <f t="shared" si="7"/>
        <v>0</v>
      </c>
      <c r="L18" s="712">
        <f>M18+N18+O18</f>
        <v>0</v>
      </c>
      <c r="M18" s="712">
        <f>E18*$J18/1000</f>
        <v>0</v>
      </c>
      <c r="N18" s="938">
        <v>0</v>
      </c>
      <c r="O18" s="938">
        <v>0</v>
      </c>
      <c r="P18" s="938">
        <v>0</v>
      </c>
      <c r="Q18" s="938">
        <v>0</v>
      </c>
    </row>
    <row r="19" spans="2:17" s="1" customFormat="1" ht="34.5" customHeight="1">
      <c r="B19" s="146" t="s">
        <v>921</v>
      </c>
      <c r="C19" s="105">
        <v>450</v>
      </c>
      <c r="D19" s="937">
        <f>C19*D4</f>
        <v>419.79762564583081</v>
      </c>
      <c r="E19" s="937">
        <f>$D19*E$5</f>
        <v>359.38710107373339</v>
      </c>
      <c r="F19" s="937">
        <f>$D19*F$5</f>
        <v>50.532331216441214</v>
      </c>
      <c r="G19" s="937">
        <f>$D19*G$5</f>
        <v>9.8781933556561796</v>
      </c>
      <c r="H19" s="937">
        <f>C19*H4</f>
        <v>15.101187177084551</v>
      </c>
      <c r="I19" s="937">
        <f>C19*I4</f>
        <v>15.101187177084551</v>
      </c>
      <c r="J19" s="937">
        <v>35.75</v>
      </c>
      <c r="K19" s="672">
        <f>C19*$J19/1000</f>
        <v>16.087499999999999</v>
      </c>
      <c r="L19" s="672">
        <f>D19*$J19/1000</f>
        <v>15.007765116838451</v>
      </c>
      <c r="M19" s="672">
        <f>E19*$J19/1000</f>
        <v>12.848088863385968</v>
      </c>
      <c r="N19" s="672">
        <f t="shared" ref="N19:Q20" si="10">F19*$J19/1000</f>
        <v>1.8065308409877734</v>
      </c>
      <c r="O19" s="672">
        <f t="shared" si="10"/>
        <v>0.35314541246470843</v>
      </c>
      <c r="P19" s="672">
        <f t="shared" si="10"/>
        <v>0.53986744158077271</v>
      </c>
      <c r="Q19" s="672">
        <f t="shared" si="10"/>
        <v>0.53986744158077271</v>
      </c>
    </row>
    <row r="20" spans="2:17" s="1" customFormat="1" ht="33" customHeight="1">
      <c r="B20" s="102" t="s">
        <v>392</v>
      </c>
      <c r="C20" s="105">
        <v>0</v>
      </c>
      <c r="D20" s="105">
        <f>C20*D4</f>
        <v>0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  <c r="J20" s="704">
        <v>29.8</v>
      </c>
      <c r="K20" s="672">
        <f>C20*$J20/1000</f>
        <v>0</v>
      </c>
      <c r="L20" s="672">
        <f>D20*$J20/1000</f>
        <v>0</v>
      </c>
      <c r="M20" s="672">
        <f>E20*$J20/1000</f>
        <v>0</v>
      </c>
      <c r="N20" s="672">
        <f t="shared" si="10"/>
        <v>0</v>
      </c>
      <c r="O20" s="672">
        <f t="shared" si="10"/>
        <v>0</v>
      </c>
      <c r="P20" s="672">
        <f t="shared" si="10"/>
        <v>0</v>
      </c>
      <c r="Q20" s="672">
        <f t="shared" si="10"/>
        <v>0</v>
      </c>
    </row>
    <row r="21" spans="2:17" s="557" customFormat="1" ht="17.25" customHeight="1">
      <c r="B21" s="784" t="s">
        <v>650</v>
      </c>
      <c r="C21" s="785">
        <v>0</v>
      </c>
      <c r="D21" s="785">
        <f>C21*$D$4</f>
        <v>0</v>
      </c>
      <c r="E21" s="785">
        <f t="shared" ref="E21:O21" si="11">D21*$D$4</f>
        <v>0</v>
      </c>
      <c r="F21" s="785">
        <f t="shared" si="11"/>
        <v>0</v>
      </c>
      <c r="G21" s="785">
        <f t="shared" si="11"/>
        <v>0</v>
      </c>
      <c r="H21" s="785">
        <f t="shared" si="11"/>
        <v>0</v>
      </c>
      <c r="I21" s="785">
        <f t="shared" si="11"/>
        <v>0</v>
      </c>
      <c r="J21" s="785">
        <f t="shared" si="11"/>
        <v>0</v>
      </c>
      <c r="K21" s="785">
        <f t="shared" si="11"/>
        <v>0</v>
      </c>
      <c r="L21" s="785">
        <f t="shared" si="11"/>
        <v>0</v>
      </c>
      <c r="M21" s="785">
        <f t="shared" si="11"/>
        <v>0</v>
      </c>
      <c r="N21" s="785">
        <f t="shared" si="11"/>
        <v>0</v>
      </c>
      <c r="O21" s="785">
        <f t="shared" si="11"/>
        <v>0</v>
      </c>
      <c r="P21" s="786">
        <f>H21*$J21/1000</f>
        <v>0</v>
      </c>
      <c r="Q21" s="786">
        <f>I21*$J21/1000</f>
        <v>0</v>
      </c>
    </row>
    <row r="22" spans="2:17" s="787" customFormat="1" ht="32.25" customHeight="1">
      <c r="B22" s="784" t="s">
        <v>596</v>
      </c>
      <c r="C22" s="785">
        <f>C21</f>
        <v>0</v>
      </c>
      <c r="D22" s="785">
        <f>C22*$D$4</f>
        <v>0</v>
      </c>
      <c r="E22" s="785">
        <f t="shared" ref="E22:O22" si="12">D22*$D$4</f>
        <v>0</v>
      </c>
      <c r="F22" s="785">
        <f t="shared" si="12"/>
        <v>0</v>
      </c>
      <c r="G22" s="785">
        <f t="shared" si="12"/>
        <v>0</v>
      </c>
      <c r="H22" s="785">
        <f t="shared" si="12"/>
        <v>0</v>
      </c>
      <c r="I22" s="785">
        <f t="shared" si="12"/>
        <v>0</v>
      </c>
      <c r="J22" s="785">
        <f t="shared" si="12"/>
        <v>0</v>
      </c>
      <c r="K22" s="785">
        <f t="shared" si="12"/>
        <v>0</v>
      </c>
      <c r="L22" s="785">
        <f t="shared" si="12"/>
        <v>0</v>
      </c>
      <c r="M22" s="785">
        <f t="shared" si="12"/>
        <v>0</v>
      </c>
      <c r="N22" s="785">
        <f t="shared" si="12"/>
        <v>0</v>
      </c>
      <c r="O22" s="785">
        <f t="shared" si="12"/>
        <v>0</v>
      </c>
      <c r="P22" s="786">
        <f>H22*$J22/1000</f>
        <v>0</v>
      </c>
      <c r="Q22" s="786">
        <f>I22*$J22/1000</f>
        <v>0</v>
      </c>
    </row>
    <row r="23" spans="2:17" s="7" customFormat="1" ht="28.5" customHeight="1">
      <c r="B23" s="1521"/>
      <c r="C23" s="1521"/>
      <c r="D23" s="1521"/>
      <c r="E23" s="1521"/>
      <c r="F23" s="1521"/>
      <c r="G23" s="1521"/>
      <c r="H23" s="1521"/>
      <c r="I23" s="1521"/>
      <c r="J23" s="1521"/>
      <c r="K23" s="1521"/>
      <c r="L23" s="1521"/>
      <c r="M23" s="1521"/>
      <c r="N23" s="1521"/>
      <c r="O23" s="1521"/>
    </row>
    <row r="24" spans="2:17" s="7" customFormat="1" ht="12.75" customHeight="1">
      <c r="B24" s="1520"/>
      <c r="C24" s="1429"/>
      <c r="D24" s="1429"/>
      <c r="E24" s="1429"/>
      <c r="F24" s="1429"/>
      <c r="G24" s="1429"/>
      <c r="H24" s="1429"/>
      <c r="I24" s="1429"/>
      <c r="J24" s="1429"/>
      <c r="K24" s="1429"/>
      <c r="L24" s="1429"/>
      <c r="M24" s="1429"/>
      <c r="N24" s="1429"/>
      <c r="O24" s="1429"/>
    </row>
    <row r="25" spans="2:17" s="658" customFormat="1" ht="12.75" customHeight="1">
      <c r="B25" s="658" t="s">
        <v>368</v>
      </c>
      <c r="C25" s="657"/>
      <c r="D25" s="664"/>
      <c r="E25" s="664"/>
      <c r="F25" s="664"/>
      <c r="G25" s="664"/>
      <c r="H25" s="664"/>
      <c r="I25" s="664"/>
      <c r="J25" s="657"/>
      <c r="K25" s="657"/>
      <c r="L25" s="1517" t="s">
        <v>370</v>
      </c>
      <c r="M25" s="1517"/>
      <c r="N25" s="657"/>
    </row>
    <row r="26" spans="2:17" s="7" customFormat="1" ht="12.75" customHeight="1"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2:17" s="7" customFormat="1" ht="12.75" customHeight="1">
      <c r="B27" s="88"/>
      <c r="C27" s="88"/>
      <c r="D27" s="88"/>
      <c r="E27" s="88"/>
      <c r="F27" s="88"/>
      <c r="K27" s="54"/>
      <c r="L27" s="54"/>
      <c r="M27" s="1518"/>
      <c r="N27" s="1518"/>
    </row>
    <row r="28" spans="2:17" ht="12.75" customHeight="1"/>
    <row r="29" spans="2:17" ht="12.75" customHeight="1"/>
    <row r="30" spans="2:17" ht="12.75" customHeight="1"/>
    <row r="31" spans="2:17" ht="12.75" customHeight="1"/>
    <row r="32" spans="2:1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</sheetData>
  <mergeCells count="12">
    <mergeCell ref="M27:N27"/>
    <mergeCell ref="B2:O2"/>
    <mergeCell ref="B3:O3"/>
    <mergeCell ref="B24:O24"/>
    <mergeCell ref="J7:J8"/>
    <mergeCell ref="B23:O23"/>
    <mergeCell ref="B7:B8"/>
    <mergeCell ref="C7:I7"/>
    <mergeCell ref="K7:Q7"/>
    <mergeCell ref="O1:P1"/>
    <mergeCell ref="L25:M25"/>
    <mergeCell ref="M1:N1"/>
  </mergeCells>
  <phoneticPr fontId="0" type="noConversion"/>
  <conditionalFormatting sqref="C8:I8 J5:J7 K7:K8 K8:O8">
    <cfRule type="expression" dxfId="11" priority="66" stopIfTrue="1">
      <formula>ABS($J5-($K5+#REF!+$J5+$J5))&gt;отклонение</formula>
    </cfRule>
  </conditionalFormatting>
  <conditionalFormatting sqref="P8:Q8">
    <cfRule type="expression" dxfId="10" priority="1" stopIfTrue="1">
      <formula>ABS($J8-($K8+#REF!+$J8+$J8))&gt;отклонение</formula>
    </cfRule>
  </conditionalFormatting>
  <pageMargins left="0.23622047244094491" right="0.19685039370078741" top="0.9055118110236221" bottom="0.39370078740157483" header="0.23622047244094491" footer="0.27559055118110237"/>
  <pageSetup paperSize="9" scale="55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B1:N47"/>
  <sheetViews>
    <sheetView view="pageBreakPreview" topLeftCell="A34" zoomScaleSheetLayoutView="100" workbookViewId="0">
      <selection activeCell="I47" sqref="I47"/>
    </sheetView>
  </sheetViews>
  <sheetFormatPr defaultRowHeight="15"/>
  <cols>
    <col min="1" max="1" width="1.85546875" customWidth="1"/>
    <col min="2" max="2" width="41.42578125" customWidth="1"/>
    <col min="3" max="3" width="17.140625" customWidth="1"/>
    <col min="4" max="4" width="16.85546875" customWidth="1"/>
    <col min="5" max="5" width="16.7109375" customWidth="1"/>
    <col min="6" max="7" width="15.28515625" customWidth="1"/>
    <col min="8" max="8" width="15.85546875" customWidth="1"/>
    <col min="9" max="9" width="17.85546875" customWidth="1"/>
    <col min="10" max="10" width="16.28515625" customWidth="1"/>
    <col min="11" max="11" width="7.5703125" customWidth="1"/>
    <col min="12" max="12" width="11.7109375" style="662" customWidth="1"/>
    <col min="13" max="13" width="9.42578125" customWidth="1"/>
    <col min="14" max="15" width="7.42578125" customWidth="1"/>
  </cols>
  <sheetData>
    <row r="1" spans="2:14">
      <c r="I1" t="s">
        <v>202</v>
      </c>
    </row>
    <row r="2" spans="2:14" ht="58.5" customHeight="1">
      <c r="B2" s="1523" t="s">
        <v>317</v>
      </c>
      <c r="C2" s="1523"/>
      <c r="D2" s="1523"/>
      <c r="E2" s="1523"/>
      <c r="F2" s="1523"/>
      <c r="G2" s="1523"/>
      <c r="H2" s="1523"/>
      <c r="I2" s="1523"/>
      <c r="J2" s="10"/>
      <c r="K2" s="10"/>
      <c r="L2" s="946"/>
      <c r="M2" s="10"/>
    </row>
    <row r="3" spans="2:14" ht="29.25" customHeight="1">
      <c r="B3" s="941" t="s">
        <v>992</v>
      </c>
      <c r="C3" s="942">
        <f>SUM(E3:G3)</f>
        <v>1</v>
      </c>
      <c r="D3" s="942"/>
      <c r="E3" s="942">
        <f>Прямі!D72</f>
        <v>0.85609607848743829</v>
      </c>
      <c r="F3" s="942">
        <f>Прямі!E72</f>
        <v>0.12037307533290731</v>
      </c>
      <c r="G3" s="942">
        <f>Прямі!F72</f>
        <v>2.3530846179654386E-2</v>
      </c>
      <c r="H3" s="10"/>
      <c r="I3" s="10"/>
      <c r="J3" s="10"/>
      <c r="K3" s="10"/>
      <c r="L3" s="946"/>
      <c r="M3" s="10"/>
    </row>
    <row r="4" spans="2:14" ht="28.5" customHeight="1">
      <c r="B4" s="941" t="s">
        <v>993</v>
      </c>
      <c r="C4" s="942">
        <f>SUM(E4:G4)</f>
        <v>1</v>
      </c>
      <c r="D4" s="942"/>
      <c r="E4" s="942">
        <f>Прямі!D72</f>
        <v>0.85609607848743829</v>
      </c>
      <c r="F4" s="942">
        <f>Прямі!E72</f>
        <v>0.12037307533290731</v>
      </c>
      <c r="G4" s="942">
        <f>Прямі!F72</f>
        <v>2.3530846179654386E-2</v>
      </c>
      <c r="H4" s="10"/>
      <c r="I4" s="358"/>
      <c r="J4" s="10"/>
      <c r="K4" s="10"/>
      <c r="L4" s="946"/>
      <c r="M4" s="10"/>
    </row>
    <row r="5" spans="2:14" ht="13.5" customHeight="1">
      <c r="B5" s="1525" t="s">
        <v>701</v>
      </c>
      <c r="C5" s="1524" t="s">
        <v>644</v>
      </c>
      <c r="D5" s="1524" t="s">
        <v>379</v>
      </c>
      <c r="E5" s="1525" t="s">
        <v>505</v>
      </c>
      <c r="F5" s="1525"/>
      <c r="G5" s="1525"/>
      <c r="H5" s="1526" t="s">
        <v>989</v>
      </c>
      <c r="I5" s="1527" t="s">
        <v>328</v>
      </c>
      <c r="J5" s="879"/>
    </row>
    <row r="6" spans="2:14" ht="93" customHeight="1" thickBot="1">
      <c r="B6" s="1525"/>
      <c r="C6" s="1524"/>
      <c r="D6" s="1524"/>
      <c r="E6" s="1238" t="s">
        <v>712</v>
      </c>
      <c r="F6" s="1239" t="s">
        <v>620</v>
      </c>
      <c r="G6" s="1239" t="s">
        <v>713</v>
      </c>
      <c r="H6" s="1526"/>
      <c r="I6" s="1528"/>
      <c r="J6" s="991" t="s">
        <v>990</v>
      </c>
    </row>
    <row r="7" spans="2:14" ht="35.25" customHeight="1">
      <c r="B7" s="1353" t="s">
        <v>325</v>
      </c>
      <c r="C7" s="702">
        <f t="shared" ref="C7:J7" si="0">C8+C12+C16</f>
        <v>7030.8911507328003</v>
      </c>
      <c r="D7" s="702">
        <f t="shared" si="0"/>
        <v>6559.0031361153624</v>
      </c>
      <c r="E7" s="702">
        <f t="shared" si="0"/>
        <v>4430.2563212296664</v>
      </c>
      <c r="F7" s="702">
        <f t="shared" si="0"/>
        <v>1267.5511882088731</v>
      </c>
      <c r="G7" s="702">
        <f t="shared" si="0"/>
        <v>861.19562667682339</v>
      </c>
      <c r="H7" s="702">
        <f t="shared" si="0"/>
        <v>235.94400730871871</v>
      </c>
      <c r="I7" s="702">
        <f t="shared" si="0"/>
        <v>235.94400730871871</v>
      </c>
      <c r="J7" s="702">
        <f t="shared" si="0"/>
        <v>0</v>
      </c>
      <c r="L7" s="827">
        <f t="shared" ref="L7:L12" si="1">E7+F7+G7+H7+I7</f>
        <v>7030.8911507328012</v>
      </c>
    </row>
    <row r="8" spans="2:14" ht="24.95" customHeight="1">
      <c r="B8" s="360" t="s">
        <v>574</v>
      </c>
      <c r="C8" s="701">
        <f>C9+C10</f>
        <v>4680.3834937728006</v>
      </c>
      <c r="D8" s="703">
        <f t="shared" ref="D8:D14" si="2">E8+F8+G8</f>
        <v>4366.2530617727998</v>
      </c>
      <c r="E8" s="701">
        <f t="shared" ref="E8:J8" si="3">E9+E10+E11</f>
        <v>2949.1707543936</v>
      </c>
      <c r="F8" s="701">
        <f t="shared" si="3"/>
        <v>843.79426897920007</v>
      </c>
      <c r="G8" s="701">
        <f t="shared" si="3"/>
        <v>573.28803840000012</v>
      </c>
      <c r="H8" s="944">
        <f t="shared" si="3"/>
        <v>157.06521600000002</v>
      </c>
      <c r="I8" s="944">
        <f t="shared" si="3"/>
        <v>157.06521600000002</v>
      </c>
      <c r="J8" s="738">
        <f t="shared" si="3"/>
        <v>0</v>
      </c>
      <c r="K8" s="4"/>
      <c r="L8" s="827">
        <f t="shared" si="1"/>
        <v>4680.3834937727997</v>
      </c>
      <c r="M8" s="4"/>
    </row>
    <row r="9" spans="2:14" ht="24.95" customHeight="1">
      <c r="B9" s="698" t="s">
        <v>762</v>
      </c>
      <c r="C9" s="878">
        <f>D9+H9+I9+J9</f>
        <v>4209.4447718400006</v>
      </c>
      <c r="D9" s="872">
        <f t="shared" si="2"/>
        <v>3895.3143398400002</v>
      </c>
      <c r="E9" s="700">
        <f>ЗП_Виробнич!V18/1000</f>
        <v>2538.17389056</v>
      </c>
      <c r="F9" s="700">
        <f>ЗП_Транспортування!R15/1000</f>
        <v>783.85241088000009</v>
      </c>
      <c r="G9" s="700">
        <f>ЗП_Постачання!L13/1000</f>
        <v>573.28803840000012</v>
      </c>
      <c r="H9" s="945">
        <f>'ЗП_інша діяльність'!R11/1000</f>
        <v>157.06521600000002</v>
      </c>
      <c r="I9" s="945">
        <f>'ЗП_інша діяльність'!R29/1000</f>
        <v>157.06521600000002</v>
      </c>
      <c r="J9" s="870">
        <v>0</v>
      </c>
      <c r="L9" s="947">
        <f t="shared" si="1"/>
        <v>4209.4447718400006</v>
      </c>
    </row>
    <row r="10" spans="2:14" ht="24.95" customHeight="1">
      <c r="B10" s="698" t="s">
        <v>763</v>
      </c>
      <c r="C10" s="652">
        <f>E10+F10+G10</f>
        <v>470.93872193279998</v>
      </c>
      <c r="D10" s="872">
        <f t="shared" si="2"/>
        <v>470.93872193279998</v>
      </c>
      <c r="E10" s="700">
        <f>ЗП_Виробнич!W18/1000</f>
        <v>410.9968638336</v>
      </c>
      <c r="F10" s="700">
        <f>ЗП_Транспортування!S15/1000</f>
        <v>59.941858099199997</v>
      </c>
      <c r="G10" s="700">
        <f>ЗП_Постачання!M13</f>
        <v>0</v>
      </c>
      <c r="H10" s="945">
        <f>'ЗП_інша діяльність'!S11</f>
        <v>0</v>
      </c>
      <c r="I10" s="945">
        <f>'ЗП_інша діяльність'!S29/1000</f>
        <v>0</v>
      </c>
      <c r="J10" s="870">
        <f>'ЗП_інша діяльність'!S29</f>
        <v>0</v>
      </c>
      <c r="L10" s="947">
        <f t="shared" si="1"/>
        <v>470.93872193279998</v>
      </c>
    </row>
    <row r="11" spans="2:14" ht="24.95" customHeight="1">
      <c r="B11" s="698" t="s">
        <v>781</v>
      </c>
      <c r="C11" s="652">
        <v>0</v>
      </c>
      <c r="D11" s="872">
        <f t="shared" si="2"/>
        <v>0</v>
      </c>
      <c r="E11" s="700">
        <v>0</v>
      </c>
      <c r="F11" s="700">
        <v>0</v>
      </c>
      <c r="G11" s="700">
        <v>0</v>
      </c>
      <c r="H11" s="945">
        <v>0</v>
      </c>
      <c r="I11" s="945">
        <v>0</v>
      </c>
      <c r="J11" s="651">
        <v>0</v>
      </c>
      <c r="L11" s="947">
        <f t="shared" si="1"/>
        <v>0</v>
      </c>
    </row>
    <row r="12" spans="2:14" s="1" customFormat="1" ht="24.95" customHeight="1">
      <c r="B12" s="699" t="s">
        <v>575</v>
      </c>
      <c r="C12" s="701">
        <f>C13+C14+C15</f>
        <v>1100.6747481599998</v>
      </c>
      <c r="D12" s="877">
        <f t="shared" si="2"/>
        <v>1026.8014353019794</v>
      </c>
      <c r="E12" s="701">
        <f t="shared" ref="E12:J12" si="4">E13+E14+E15</f>
        <v>693.54953107835786</v>
      </c>
      <c r="F12" s="701">
        <f t="shared" si="4"/>
        <v>198.43310825773463</v>
      </c>
      <c r="G12" s="701">
        <f t="shared" si="4"/>
        <v>134.81879596588698</v>
      </c>
      <c r="H12" s="701">
        <f t="shared" si="4"/>
        <v>36.936656429010128</v>
      </c>
      <c r="I12" s="701">
        <f t="shared" si="4"/>
        <v>36.936656429010128</v>
      </c>
      <c r="J12" s="870">
        <f t="shared" si="4"/>
        <v>0</v>
      </c>
      <c r="K12" s="30"/>
      <c r="L12" s="947">
        <f t="shared" si="1"/>
        <v>1100.6747481599996</v>
      </c>
      <c r="M12" s="30"/>
    </row>
    <row r="13" spans="2:14" s="1" customFormat="1" ht="24.95" customHeight="1">
      <c r="B13" s="570" t="s">
        <v>762</v>
      </c>
      <c r="C13" s="652">
        <f>ЗП_ЗагальноВиробнич!R19/1000</f>
        <v>1041.7658303999999</v>
      </c>
      <c r="D13" s="652">
        <f t="shared" si="2"/>
        <v>971.84627129083833</v>
      </c>
      <c r="E13" s="878">
        <f>$E$28*C13</f>
        <v>656.43025278376535</v>
      </c>
      <c r="F13" s="651">
        <f>C13*F28</f>
        <v>187.81282313285337</v>
      </c>
      <c r="G13" s="651">
        <f>C13*G28</f>
        <v>127.60319537421958</v>
      </c>
      <c r="H13" s="870">
        <f>C13*H28</f>
        <v>34.959779554580706</v>
      </c>
      <c r="I13" s="870">
        <f>C13*I28</f>
        <v>34.959779554580706</v>
      </c>
      <c r="J13" s="871">
        <v>0</v>
      </c>
      <c r="K13" s="30"/>
      <c r="L13" s="947">
        <f t="shared" ref="L13:L19" si="5">E13+F13+G13+H13+I13</f>
        <v>1041.7658303999997</v>
      </c>
      <c r="M13" s="30"/>
      <c r="N13" s="30"/>
    </row>
    <row r="14" spans="2:14" s="1" customFormat="1" ht="24.95" customHeight="1">
      <c r="B14" s="570" t="s">
        <v>763</v>
      </c>
      <c r="C14" s="652">
        <f>ЗП_ЗагальноВиробнич!S19/1000</f>
        <v>58.908917760000001</v>
      </c>
      <c r="D14" s="652">
        <f t="shared" si="2"/>
        <v>54.955164011141143</v>
      </c>
      <c r="E14" s="878">
        <f>$E$28*C14</f>
        <v>37.119278294592498</v>
      </c>
      <c r="F14" s="651">
        <f>C14*F28</f>
        <v>10.620285124881251</v>
      </c>
      <c r="G14" s="651">
        <f>C14*G28</f>
        <v>7.2156005916673944</v>
      </c>
      <c r="H14" s="870">
        <f>C14*H28</f>
        <v>1.9768768744294229</v>
      </c>
      <c r="I14" s="870">
        <f>C14*I28</f>
        <v>1.9768768744294229</v>
      </c>
      <c r="J14" s="871">
        <v>0</v>
      </c>
      <c r="L14" s="947">
        <f t="shared" si="5"/>
        <v>58.908917759999987</v>
      </c>
    </row>
    <row r="15" spans="2:14" s="1" customFormat="1" ht="24.95" customHeight="1">
      <c r="B15" s="698" t="s">
        <v>781</v>
      </c>
      <c r="C15" s="652">
        <v>0</v>
      </c>
      <c r="D15" s="652">
        <v>0</v>
      </c>
      <c r="E15" s="878">
        <f>$E$28*C15</f>
        <v>0</v>
      </c>
      <c r="F15" s="652">
        <v>0</v>
      </c>
      <c r="G15" s="652">
        <v>0</v>
      </c>
      <c r="H15" s="870">
        <v>0</v>
      </c>
      <c r="I15" s="870">
        <v>0</v>
      </c>
      <c r="J15" s="871">
        <v>0</v>
      </c>
      <c r="L15" s="947">
        <f t="shared" si="5"/>
        <v>0</v>
      </c>
    </row>
    <row r="16" spans="2:14" s="1" customFormat="1" ht="24.95" customHeight="1">
      <c r="B16" s="699" t="s">
        <v>576</v>
      </c>
      <c r="C16" s="701">
        <f>C17+C18</f>
        <v>1249.8329088</v>
      </c>
      <c r="D16" s="701">
        <f>E16+F16+G16</f>
        <v>1165.9486390405827</v>
      </c>
      <c r="E16" s="701">
        <f t="shared" ref="E16:J16" si="6">SUM(E17:E19)</f>
        <v>787.53603575770819</v>
      </c>
      <c r="F16" s="701">
        <f t="shared" si="6"/>
        <v>225.32381097193843</v>
      </c>
      <c r="G16" s="701">
        <f t="shared" si="6"/>
        <v>153.08879231093621</v>
      </c>
      <c r="H16" s="701">
        <f t="shared" si="6"/>
        <v>41.942134879708547</v>
      </c>
      <c r="I16" s="701">
        <f t="shared" si="6"/>
        <v>41.942134879708547</v>
      </c>
      <c r="J16" s="701">
        <f t="shared" si="6"/>
        <v>0</v>
      </c>
      <c r="K16" s="30"/>
      <c r="L16" s="947">
        <f t="shared" si="5"/>
        <v>1249.8329088</v>
      </c>
      <c r="M16" s="30"/>
    </row>
    <row r="17" spans="2:12" s="1" customFormat="1" ht="24.95" customHeight="1">
      <c r="B17" s="570" t="s">
        <v>762</v>
      </c>
      <c r="C17" s="652">
        <f>ЗП_Адмін!M17/1000</f>
        <v>1226.8596480000001</v>
      </c>
      <c r="D17" s="878">
        <f>E17+F17+G17</f>
        <v>1144.5172605135108</v>
      </c>
      <c r="E17" s="651">
        <f>C17*E28</f>
        <v>773.0602841500546</v>
      </c>
      <c r="F17" s="651">
        <f>C17*F28</f>
        <v>221.18211920061336</v>
      </c>
      <c r="G17" s="651">
        <f>C17*G28</f>
        <v>150.27485716284278</v>
      </c>
      <c r="H17" s="870">
        <f>C17*H28</f>
        <v>41.171193743244594</v>
      </c>
      <c r="I17" s="870">
        <f>C17*I28</f>
        <v>41.171193743244594</v>
      </c>
      <c r="J17" s="871"/>
      <c r="L17" s="947">
        <f t="shared" si="5"/>
        <v>1226.8596480000001</v>
      </c>
    </row>
    <row r="18" spans="2:12" s="1" customFormat="1" ht="24.95" customHeight="1">
      <c r="B18" s="570" t="s">
        <v>763</v>
      </c>
      <c r="C18" s="652">
        <f>ЗП_Адмін!N17/1000</f>
        <v>22.973260799999998</v>
      </c>
      <c r="D18" s="878">
        <f>E18+F18+G18</f>
        <v>21.431378527072088</v>
      </c>
      <c r="E18" s="651">
        <f>C18*E28</f>
        <v>14.475751607653581</v>
      </c>
      <c r="F18" s="651">
        <f>C18*F28</f>
        <v>4.1416917713250747</v>
      </c>
      <c r="G18" s="651">
        <f>C18*G28</f>
        <v>2.8139351480934311</v>
      </c>
      <c r="H18" s="870">
        <f>C18*H28</f>
        <v>0.77094113646395357</v>
      </c>
      <c r="I18" s="870">
        <f>C18*I28</f>
        <v>0.77094113646395357</v>
      </c>
      <c r="J18" s="871"/>
      <c r="L18" s="947">
        <f t="shared" si="5"/>
        <v>22.973260799999995</v>
      </c>
    </row>
    <row r="19" spans="2:12" s="1" customFormat="1" ht="24.95" customHeight="1">
      <c r="B19" s="698" t="s">
        <v>781</v>
      </c>
      <c r="C19" s="700">
        <v>0</v>
      </c>
      <c r="D19" s="700">
        <v>0</v>
      </c>
      <c r="E19" s="651">
        <f>$D19*E$4</f>
        <v>0</v>
      </c>
      <c r="F19" s="651">
        <f>$D19*F$4</f>
        <v>0</v>
      </c>
      <c r="G19" s="651">
        <v>0</v>
      </c>
      <c r="H19" s="870">
        <v>0</v>
      </c>
      <c r="I19" s="870">
        <v>0</v>
      </c>
      <c r="J19" s="871"/>
      <c r="L19" s="947">
        <f t="shared" si="5"/>
        <v>0</v>
      </c>
    </row>
    <row r="20" spans="2:12" s="557" customFormat="1" ht="20.25" customHeight="1">
      <c r="B20" s="1352" t="s">
        <v>676</v>
      </c>
      <c r="C20" s="1346">
        <f>SUM(C21:C23)</f>
        <v>69</v>
      </c>
      <c r="D20" s="1346">
        <f>SUM(E20:G20)</f>
        <v>66</v>
      </c>
      <c r="E20" s="1346">
        <v>52.1</v>
      </c>
      <c r="F20" s="1346">
        <v>9.4</v>
      </c>
      <c r="G20" s="1346">
        <v>4.5</v>
      </c>
      <c r="H20" s="1346">
        <f>SUM(H21:H23)</f>
        <v>1.5547231602296001</v>
      </c>
      <c r="I20" s="1346">
        <f>SUM(I21:I23)</f>
        <v>1.5704892933565275</v>
      </c>
      <c r="L20" s="1345"/>
    </row>
    <row r="21" spans="2:12" s="557" customFormat="1" ht="15.75">
      <c r="B21" s="570" t="s">
        <v>677</v>
      </c>
      <c r="C21" s="1347">
        <f>D21+H21+I21</f>
        <v>52</v>
      </c>
      <c r="D21" s="1347">
        <f>E21+F21+G21</f>
        <v>50</v>
      </c>
      <c r="E21" s="1347">
        <f>ЗП_Виробнич!C18</f>
        <v>39</v>
      </c>
      <c r="F21" s="1347">
        <f>ЗП_Транспортування!D15</f>
        <v>7</v>
      </c>
      <c r="G21" s="1347">
        <f>ЗП_Постачання!D13</f>
        <v>4</v>
      </c>
      <c r="H21" s="1348">
        <f>'ЗП_інша діяльність'!D11</f>
        <v>1</v>
      </c>
      <c r="I21" s="1348">
        <f>'ЗП_інша діяльність'!D29</f>
        <v>1</v>
      </c>
      <c r="L21" s="1345"/>
    </row>
    <row r="22" spans="2:12" s="557" customFormat="1" ht="15.75">
      <c r="B22" s="570" t="s">
        <v>575</v>
      </c>
      <c r="C22" s="1347">
        <f>ЗП_ЗагальноВиробнич!C19</f>
        <v>10</v>
      </c>
      <c r="D22" s="1347">
        <f>C22*D28</f>
        <v>9.3288361254629066</v>
      </c>
      <c r="E22" s="1347">
        <f t="shared" ref="E22:G23" si="7">$D22*E$3</f>
        <v>7.9863800238607423</v>
      </c>
      <c r="F22" s="1347">
        <f t="shared" si="7"/>
        <v>1.1229406936986936</v>
      </c>
      <c r="G22" s="1347">
        <f t="shared" si="7"/>
        <v>0.21951540790347066</v>
      </c>
      <c r="H22" s="1348">
        <f>C22*H28</f>
        <v>0.33558193726854557</v>
      </c>
      <c r="I22" s="1348">
        <f>C22*I28</f>
        <v>0.33558193726854557</v>
      </c>
      <c r="L22" s="1345"/>
    </row>
    <row r="23" spans="2:12" s="559" customFormat="1" ht="12.75" customHeight="1">
      <c r="B23" s="570" t="s">
        <v>678</v>
      </c>
      <c r="C23" s="1347">
        <f>ЗП_Адмін!C17</f>
        <v>7</v>
      </c>
      <c r="D23" s="1347">
        <f>C23*D28</f>
        <v>6.5301852878240352</v>
      </c>
      <c r="E23" s="1347">
        <f t="shared" si="7"/>
        <v>5.5904660167025204</v>
      </c>
      <c r="F23" s="1347">
        <f t="shared" si="7"/>
        <v>0.78605848558908553</v>
      </c>
      <c r="G23" s="1347">
        <f t="shared" si="7"/>
        <v>0.15366078553242948</v>
      </c>
      <c r="H23" s="1348">
        <f>D23*H28</f>
        <v>0.21914122296105445</v>
      </c>
      <c r="I23" s="1348">
        <f>C23*I28</f>
        <v>0.23490735608798188</v>
      </c>
      <c r="L23" s="633"/>
    </row>
    <row r="24" spans="2:12" s="559" customFormat="1" ht="28.5" customHeight="1">
      <c r="B24" s="1351" t="s">
        <v>329</v>
      </c>
      <c r="C24" s="1349">
        <f t="shared" ref="C24:I24" si="8">C7/12/C20*1000</f>
        <v>8491.4144332521737</v>
      </c>
      <c r="D24" s="1349">
        <f t="shared" si="8"/>
        <v>8281.5696163072771</v>
      </c>
      <c r="E24" s="1349">
        <f t="shared" si="8"/>
        <v>7086.1425483519924</v>
      </c>
      <c r="F24" s="1349">
        <f t="shared" si="8"/>
        <v>11237.155923837527</v>
      </c>
      <c r="G24" s="1349">
        <f t="shared" si="8"/>
        <v>15948.067160681916</v>
      </c>
      <c r="H24" s="1349">
        <f t="shared" si="8"/>
        <v>12646.624886038377</v>
      </c>
      <c r="I24" s="1349">
        <f t="shared" si="8"/>
        <v>12519.665490388215</v>
      </c>
      <c r="L24" s="633"/>
    </row>
    <row r="25" spans="2:12" s="559" customFormat="1" ht="12.75" customHeight="1">
      <c r="B25" s="570" t="s">
        <v>677</v>
      </c>
      <c r="C25" s="1350">
        <f t="shared" ref="C25:I25" si="9">C8/C21/12*1000</f>
        <v>7500.6145733538469</v>
      </c>
      <c r="D25" s="1350">
        <f t="shared" si="9"/>
        <v>7277.0884362879997</v>
      </c>
      <c r="E25" s="1350">
        <f t="shared" si="9"/>
        <v>6301.6469110974358</v>
      </c>
      <c r="F25" s="1350">
        <f t="shared" si="9"/>
        <v>10045.1698688</v>
      </c>
      <c r="G25" s="1350">
        <f t="shared" si="9"/>
        <v>11943.500800000002</v>
      </c>
      <c r="H25" s="1350">
        <f t="shared" si="9"/>
        <v>13088.768000000002</v>
      </c>
      <c r="I25" s="1350">
        <f t="shared" si="9"/>
        <v>13088.768000000002</v>
      </c>
      <c r="L25" s="633"/>
    </row>
    <row r="26" spans="2:12" s="559" customFormat="1">
      <c r="B26" s="570" t="s">
        <v>575</v>
      </c>
      <c r="C26" s="1350">
        <f t="shared" ref="C26:I26" si="10">C12/C22/12*1000</f>
        <v>9172.2895679999983</v>
      </c>
      <c r="D26" s="1350">
        <f t="shared" si="10"/>
        <v>9172.2895679999983</v>
      </c>
      <c r="E26" s="1350">
        <f t="shared" si="10"/>
        <v>7236.7949038055449</v>
      </c>
      <c r="F26" s="1350">
        <f t="shared" si="10"/>
        <v>14725.704080012767</v>
      </c>
      <c r="G26" s="1350">
        <f t="shared" si="10"/>
        <v>51180.460502181835</v>
      </c>
      <c r="H26" s="1350">
        <f t="shared" si="10"/>
        <v>9172.2895679999983</v>
      </c>
      <c r="I26" s="1350">
        <f t="shared" si="10"/>
        <v>9172.2895679999983</v>
      </c>
      <c r="L26" s="633"/>
    </row>
    <row r="27" spans="2:12" s="559" customFormat="1">
      <c r="B27" s="570" t="s">
        <v>678</v>
      </c>
      <c r="C27" s="1350">
        <f t="shared" ref="C27:I27" si="11">C16/C23/12*1000</f>
        <v>14878.963200000002</v>
      </c>
      <c r="D27" s="1350">
        <f t="shared" si="11"/>
        <v>14878.963200000002</v>
      </c>
      <c r="E27" s="1350">
        <f t="shared" si="11"/>
        <v>11739.272322510071</v>
      </c>
      <c r="F27" s="1350">
        <f t="shared" si="11"/>
        <v>23887.515486318738</v>
      </c>
      <c r="G27" s="1350">
        <f t="shared" si="11"/>
        <v>83023.129909434749</v>
      </c>
      <c r="H27" s="1350">
        <f t="shared" si="11"/>
        <v>15949.431418768427</v>
      </c>
      <c r="I27" s="1350">
        <f t="shared" si="11"/>
        <v>14878.963200000002</v>
      </c>
      <c r="L27" s="633"/>
    </row>
    <row r="28" spans="2:12" s="1" customFormat="1" ht="54.75" customHeight="1">
      <c r="B28" s="876" t="s">
        <v>991</v>
      </c>
      <c r="C28" s="873">
        <f>E28+F28+G28+H28+I28+J28</f>
        <v>0.99999999999999978</v>
      </c>
      <c r="D28" s="874">
        <f>D8/C8</f>
        <v>0.93288361254629071</v>
      </c>
      <c r="E28" s="874">
        <f>E8/C8</f>
        <v>0.63011305768372172</v>
      </c>
      <c r="F28" s="874">
        <f>F8/C8</f>
        <v>0.18028314775954987</v>
      </c>
      <c r="G28" s="874">
        <f>G8/C8</f>
        <v>0.12248740710301914</v>
      </c>
      <c r="H28" s="875">
        <f>H8/C8</f>
        <v>3.3558193726854556E-2</v>
      </c>
      <c r="I28" s="875">
        <f>I8/C8</f>
        <v>3.3558193726854556E-2</v>
      </c>
      <c r="J28" s="875">
        <f>J8/C8</f>
        <v>0</v>
      </c>
      <c r="L28" s="948"/>
    </row>
    <row r="29" spans="2:12" s="697" customFormat="1" ht="54.75" customHeight="1">
      <c r="B29" s="694" t="s">
        <v>368</v>
      </c>
      <c r="C29" s="695"/>
      <c r="D29" s="695"/>
      <c r="E29" s="695"/>
      <c r="G29" s="695"/>
      <c r="H29" s="696"/>
      <c r="I29" s="1415" t="s">
        <v>369</v>
      </c>
      <c r="L29" s="948"/>
    </row>
    <row r="30" spans="2:12">
      <c r="B30" s="345"/>
      <c r="C30" s="345"/>
      <c r="D30" s="345"/>
      <c r="E30" s="345"/>
      <c r="F30" s="345"/>
      <c r="G30" s="345"/>
      <c r="I30" s="2" t="s">
        <v>203</v>
      </c>
    </row>
    <row r="31" spans="2:12" ht="47.25" customHeight="1">
      <c r="B31" s="1529" t="s">
        <v>319</v>
      </c>
      <c r="C31" s="1529"/>
      <c r="D31" s="1529"/>
      <c r="E31" s="1529"/>
      <c r="F31" s="1529"/>
      <c r="G31" s="1529"/>
      <c r="H31" s="1529"/>
      <c r="I31" s="1529"/>
    </row>
    <row r="32" spans="2:12" ht="31.5" customHeight="1">
      <c r="B32" s="941" t="s">
        <v>992</v>
      </c>
      <c r="C32" s="942">
        <f>SUM(E32:G32)</f>
        <v>1</v>
      </c>
      <c r="D32" s="942"/>
      <c r="E32" s="942">
        <f>Прямі!D72</f>
        <v>0.85609607848743829</v>
      </c>
      <c r="F32" s="942">
        <f>Прямі!E72</f>
        <v>0.12037307533290731</v>
      </c>
      <c r="G32" s="942">
        <f>Прямі!F72</f>
        <v>2.3530846179654386E-2</v>
      </c>
      <c r="H32" s="1344"/>
      <c r="I32" s="1344"/>
    </row>
    <row r="33" spans="2:10" ht="28.5" customHeight="1">
      <c r="B33" s="941" t="s">
        <v>993</v>
      </c>
      <c r="C33" s="942">
        <f>SUM(E33:G33)</f>
        <v>1</v>
      </c>
      <c r="D33" s="942"/>
      <c r="E33" s="942">
        <f>Прямі!D72</f>
        <v>0.85609607848743829</v>
      </c>
      <c r="F33" s="942">
        <f>Прямі!E72</f>
        <v>0.12037307533290731</v>
      </c>
      <c r="G33" s="942">
        <f>Прямі!F72</f>
        <v>2.3530846179654386E-2</v>
      </c>
      <c r="I33" s="358" t="s">
        <v>397</v>
      </c>
    </row>
    <row r="34" spans="2:10">
      <c r="B34" s="1530" t="s">
        <v>701</v>
      </c>
      <c r="C34" s="1531" t="s">
        <v>327</v>
      </c>
      <c r="D34" s="1532" t="s">
        <v>379</v>
      </c>
      <c r="E34" s="1530" t="s">
        <v>505</v>
      </c>
      <c r="F34" s="1530"/>
      <c r="G34" s="1530"/>
      <c r="H34" s="1534" t="s">
        <v>989</v>
      </c>
      <c r="I34" s="1534" t="s">
        <v>1002</v>
      </c>
    </row>
    <row r="35" spans="2:10" ht="82.5" customHeight="1">
      <c r="B35" s="1530"/>
      <c r="C35" s="1531"/>
      <c r="D35" s="1533"/>
      <c r="E35" s="1343" t="s">
        <v>712</v>
      </c>
      <c r="F35" s="1343" t="s">
        <v>620</v>
      </c>
      <c r="G35" s="1343" t="s">
        <v>713</v>
      </c>
      <c r="H35" s="1534"/>
      <c r="I35" s="1534"/>
    </row>
    <row r="36" spans="2:10" ht="47.25">
      <c r="B36" s="1340" t="s">
        <v>318</v>
      </c>
      <c r="C36" s="1354">
        <f>C37+C40+C43</f>
        <v>1461.3554696000831</v>
      </c>
      <c r="D36" s="1354">
        <f t="shared" ref="D36:I36" si="12">D37+D40+D43</f>
        <v>1362.0273676150728</v>
      </c>
      <c r="E36" s="1354">
        <f t="shared" si="12"/>
        <v>989.82466698057772</v>
      </c>
      <c r="F36" s="1354">
        <f t="shared" si="12"/>
        <v>236.19556803618184</v>
      </c>
      <c r="G36" s="1354">
        <f t="shared" si="12"/>
        <v>136.00713259831309</v>
      </c>
      <c r="H36" s="1354">
        <f t="shared" si="12"/>
        <v>49.664050992505167</v>
      </c>
      <c r="I36" s="1354">
        <f t="shared" si="12"/>
        <v>49.664050992505167</v>
      </c>
      <c r="J36" s="1361">
        <f>(C7-ЗП_Виробнич!U19/1000-ЗП_Адмін!L18/1000)*0.22+(ЗП_Адмін!L18/1000+ЗП_Виробнич!U19/1000)*0.0841</f>
        <v>1461.3554696000833</v>
      </c>
    </row>
    <row r="37" spans="2:10" ht="30" customHeight="1">
      <c r="B37" s="1359" t="s">
        <v>320</v>
      </c>
      <c r="C37" s="1354">
        <f>C38+C39</f>
        <v>1011.1016926688831</v>
      </c>
      <c r="D37" s="1354">
        <f t="shared" ref="D37:I37" si="13">D38+D39</f>
        <v>941.99299762888313</v>
      </c>
      <c r="E37" s="1354">
        <f t="shared" si="13"/>
        <v>630.23489000545908</v>
      </c>
      <c r="F37" s="1354">
        <f t="shared" si="13"/>
        <v>185.63473917542399</v>
      </c>
      <c r="G37" s="1354">
        <f t="shared" si="13"/>
        <v>126.12336844800002</v>
      </c>
      <c r="H37" s="1354">
        <f t="shared" si="13"/>
        <v>34.55434752</v>
      </c>
      <c r="I37" s="1354">
        <f t="shared" si="13"/>
        <v>34.55434752</v>
      </c>
      <c r="J37" s="1342"/>
    </row>
    <row r="38" spans="2:10" ht="15.75">
      <c r="B38" s="1341" t="s">
        <v>321</v>
      </c>
      <c r="C38" s="1355">
        <f>D38+H38+I38</f>
        <v>11.499654513107199</v>
      </c>
      <c r="D38" s="1356">
        <f>SUM(E38:G38)</f>
        <v>11.499654513107199</v>
      </c>
      <c r="E38" s="1356">
        <f>ЗП_Виробнич!U19*0.0841/1000</f>
        <v>11.499654513107199</v>
      </c>
      <c r="F38" s="1356">
        <v>0</v>
      </c>
      <c r="G38" s="1356">
        <v>0</v>
      </c>
      <c r="H38" s="1356">
        <v>0</v>
      </c>
      <c r="I38" s="1356">
        <v>0</v>
      </c>
      <c r="J38" s="1342"/>
    </row>
    <row r="39" spans="2:10" ht="15.75">
      <c r="B39" s="1341" t="s">
        <v>322</v>
      </c>
      <c r="C39" s="1355">
        <f>D39+H39+I39</f>
        <v>999.60203815577586</v>
      </c>
      <c r="D39" s="1356">
        <f>SUM(E39:G39)</f>
        <v>930.49334311577593</v>
      </c>
      <c r="E39" s="1356">
        <f>(ЗП_Виробнич!U18-ЗП_Виробнич!U19)*0.22/1000</f>
        <v>618.73523549235188</v>
      </c>
      <c r="F39" s="1356">
        <f>ЗП_Транспортування!Q15*0.22/1000</f>
        <v>185.63473917542399</v>
      </c>
      <c r="G39" s="1356">
        <f>ЗП_Постачання!K13*0.22/1000</f>
        <v>126.12336844800002</v>
      </c>
      <c r="H39" s="1356">
        <f>'ЗП_інша діяльність'!Q11*0.22/1000</f>
        <v>34.55434752</v>
      </c>
      <c r="I39" s="1356">
        <f>'ЗП_інша діяльність'!Q29*0.22/1000</f>
        <v>34.55434752</v>
      </c>
      <c r="J39" s="1342"/>
    </row>
    <row r="40" spans="2:10" ht="31.5">
      <c r="B40" s="1360" t="s">
        <v>323</v>
      </c>
      <c r="C40" s="1354">
        <f>C41+C42</f>
        <v>242.14844459519998</v>
      </c>
      <c r="D40" s="1354">
        <f t="shared" ref="D40:I40" si="14">D41+D42</f>
        <v>225.89631576643546</v>
      </c>
      <c r="E40" s="1354">
        <f t="shared" si="14"/>
        <v>193.38895007240549</v>
      </c>
      <c r="F40" s="1354">
        <f t="shared" si="14"/>
        <v>27.191834235179353</v>
      </c>
      <c r="G40" s="1354">
        <f t="shared" si="14"/>
        <v>5.3155314588506286</v>
      </c>
      <c r="H40" s="1354">
        <f t="shared" si="14"/>
        <v>8.1260644143822276</v>
      </c>
      <c r="I40" s="1354">
        <f t="shared" si="14"/>
        <v>8.1260644143822276</v>
      </c>
      <c r="J40" s="1342"/>
    </row>
    <row r="41" spans="2:10" ht="15.75">
      <c r="B41" s="1341" t="s">
        <v>321</v>
      </c>
      <c r="C41" s="1355">
        <v>0</v>
      </c>
      <c r="D41" s="1355">
        <v>0</v>
      </c>
      <c r="E41" s="1355">
        <v>0</v>
      </c>
      <c r="F41" s="1355">
        <v>0</v>
      </c>
      <c r="G41" s="1355">
        <v>0</v>
      </c>
      <c r="H41" s="1355">
        <v>0</v>
      </c>
      <c r="I41" s="1355">
        <v>0</v>
      </c>
      <c r="J41" s="1342"/>
    </row>
    <row r="42" spans="2:10" ht="15.75">
      <c r="B42" s="1341" t="s">
        <v>322</v>
      </c>
      <c r="C42" s="1355">
        <f>ЗП_ЗагальноВиробнич!Q19*0.22/1000</f>
        <v>242.14844459519998</v>
      </c>
      <c r="D42" s="1356">
        <f>C42*D28</f>
        <v>225.89631576643546</v>
      </c>
      <c r="E42" s="1356">
        <f>D42*E32</f>
        <v>193.38895007240549</v>
      </c>
      <c r="F42" s="1356">
        <f>D42*F32</f>
        <v>27.191834235179353</v>
      </c>
      <c r="G42" s="1356">
        <f>D42*G32</f>
        <v>5.3155314588506286</v>
      </c>
      <c r="H42" s="1356">
        <f>C42*H28</f>
        <v>8.1260644143822276</v>
      </c>
      <c r="I42" s="1356">
        <f>C42*I28</f>
        <v>8.1260644143822276</v>
      </c>
      <c r="J42" s="1342"/>
    </row>
    <row r="43" spans="2:10" ht="31.5">
      <c r="B43" s="1360" t="s">
        <v>324</v>
      </c>
      <c r="C43" s="1354">
        <f>C44+C45</f>
        <v>208.105332336</v>
      </c>
      <c r="D43" s="1354">
        <f t="shared" ref="D43:I43" si="15">D44+D45</f>
        <v>194.13805421975411</v>
      </c>
      <c r="E43" s="1354">
        <f t="shared" si="15"/>
        <v>166.20082690271317</v>
      </c>
      <c r="F43" s="1354">
        <f t="shared" si="15"/>
        <v>23.368994625578502</v>
      </c>
      <c r="G43" s="1354">
        <f t="shared" si="15"/>
        <v>4.5682326914624367</v>
      </c>
      <c r="H43" s="1354">
        <f t="shared" si="15"/>
        <v>6.9836390581229377</v>
      </c>
      <c r="I43" s="1354">
        <f t="shared" si="15"/>
        <v>6.9836390581229377</v>
      </c>
      <c r="J43" s="1342"/>
    </row>
    <row r="44" spans="2:10" ht="15.75">
      <c r="B44" s="1341" t="s">
        <v>321</v>
      </c>
      <c r="C44" s="1357">
        <f>ЗП_Адмін!L18*0.0841/1000</f>
        <v>41.374172399999999</v>
      </c>
      <c r="D44" s="1357">
        <f>C44*D28</f>
        <v>38.597287414625036</v>
      </c>
      <c r="E44" s="1357">
        <f>D44*E33</f>
        <v>33.042986395913047</v>
      </c>
      <c r="F44" s="1357">
        <f>D44*F33</f>
        <v>4.6460741856065351</v>
      </c>
      <c r="G44" s="1357">
        <f>D44*G33</f>
        <v>0.90822683310545183</v>
      </c>
      <c r="H44" s="1358">
        <f>C44*H28</f>
        <v>1.3884424926874788</v>
      </c>
      <c r="I44" s="1358">
        <f>C44*I28</f>
        <v>1.3884424926874788</v>
      </c>
    </row>
    <row r="45" spans="2:10" ht="15.75">
      <c r="B45" s="1341" t="s">
        <v>322</v>
      </c>
      <c r="C45" s="1357">
        <f>(ЗП_Адмін!L17-ЗП_Адмін!L18)*0.22/1000</f>
        <v>166.73115993600001</v>
      </c>
      <c r="D45" s="1357">
        <f>C45*D28</f>
        <v>155.54076680512907</v>
      </c>
      <c r="E45" s="1357">
        <f>D45*E33</f>
        <v>133.15784050680011</v>
      </c>
      <c r="F45" s="1357">
        <f>D45*F33</f>
        <v>18.722920439971968</v>
      </c>
      <c r="G45" s="1357">
        <f>D45*G33</f>
        <v>3.660005858356985</v>
      </c>
      <c r="H45" s="1358">
        <f>C45*H28</f>
        <v>5.595196565435459</v>
      </c>
      <c r="I45" s="1358">
        <f>C45*I28</f>
        <v>5.595196565435459</v>
      </c>
    </row>
    <row r="46" spans="2:10">
      <c r="B46" s="345" t="s">
        <v>326</v>
      </c>
      <c r="C46" s="345"/>
      <c r="D46" s="345"/>
      <c r="E46" s="345"/>
      <c r="F46" s="345"/>
      <c r="G46" s="345"/>
    </row>
    <row r="47" spans="2:10" ht="45" customHeight="1">
      <c r="B47" s="694" t="s">
        <v>368</v>
      </c>
      <c r="C47" s="695"/>
      <c r="D47" s="695"/>
      <c r="E47" s="695"/>
      <c r="F47" s="697"/>
      <c r="G47" s="695"/>
      <c r="H47" s="696"/>
      <c r="I47" s="695" t="s">
        <v>370</v>
      </c>
    </row>
  </sheetData>
  <mergeCells count="14">
    <mergeCell ref="B31:I31"/>
    <mergeCell ref="B34:B35"/>
    <mergeCell ref="C34:C35"/>
    <mergeCell ref="D34:D35"/>
    <mergeCell ref="E34:G34"/>
    <mergeCell ref="H34:H35"/>
    <mergeCell ref="I34:I35"/>
    <mergeCell ref="B2:I2"/>
    <mergeCell ref="D5:D6"/>
    <mergeCell ref="B5:B6"/>
    <mergeCell ref="E5:G5"/>
    <mergeCell ref="C5:C6"/>
    <mergeCell ref="H5:H6"/>
    <mergeCell ref="I5:I6"/>
  </mergeCells>
  <phoneticPr fontId="0" type="noConversion"/>
  <pageMargins left="1.1811023622047245" right="0.39370078740157483" top="0.39370078740157483" bottom="0.39370078740157483" header="0.51181102362204722" footer="0.51181102362204722"/>
  <pageSetup paperSize="9" scale="65" fitToHeight="0" orientation="landscape" horizontalDpi="300" verticalDpi="300" r:id="rId1"/>
  <headerFooter alignWithMargins="0"/>
  <rowBreaks count="1" manualBreakCount="1">
    <brk id="29" min="1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W52"/>
  <sheetViews>
    <sheetView view="pageBreakPreview" topLeftCell="F1" zoomScale="80" zoomScaleSheetLayoutView="80" workbookViewId="0">
      <selection activeCell="V1" sqref="V1:W1"/>
    </sheetView>
  </sheetViews>
  <sheetFormatPr defaultRowHeight="12.75"/>
  <cols>
    <col min="1" max="1" width="1.85546875" customWidth="1"/>
    <col min="2" max="2" width="41.28515625" customWidth="1"/>
    <col min="3" max="3" width="11.28515625" customWidth="1"/>
    <col min="4" max="4" width="14.7109375" customWidth="1"/>
    <col min="5" max="5" width="13.140625" customWidth="1"/>
    <col min="6" max="6" width="13.7109375" customWidth="1"/>
    <col min="7" max="7" width="12.5703125" customWidth="1"/>
    <col min="8" max="8" width="18.5703125" customWidth="1"/>
    <col min="9" max="11" width="9.85546875" customWidth="1"/>
    <col min="12" max="12" width="11.42578125" customWidth="1"/>
    <col min="13" max="13" width="11" customWidth="1"/>
    <col min="14" max="14" width="12" customWidth="1"/>
    <col min="15" max="15" width="12.28515625" customWidth="1"/>
    <col min="16" max="16" width="12" customWidth="1"/>
    <col min="17" max="17" width="11.140625" customWidth="1"/>
    <col min="18" max="18" width="10.140625" hidden="1" customWidth="1"/>
    <col min="19" max="19" width="1.85546875" hidden="1" customWidth="1"/>
    <col min="20" max="20" width="14.140625" customWidth="1"/>
    <col min="21" max="21" width="16.5703125" customWidth="1"/>
    <col min="22" max="22" width="17.28515625" customWidth="1"/>
    <col min="23" max="23" width="17" customWidth="1"/>
  </cols>
  <sheetData>
    <row r="1" spans="1:23" ht="18.75">
      <c r="B1" s="463"/>
      <c r="C1" s="347"/>
      <c r="D1" s="347"/>
      <c r="E1" s="448"/>
      <c r="F1" s="347"/>
      <c r="G1" s="391"/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391"/>
      <c r="S1" s="391"/>
      <c r="T1" s="391"/>
      <c r="V1" s="1550" t="s">
        <v>205</v>
      </c>
      <c r="W1" s="1550"/>
    </row>
    <row r="2" spans="1:23" ht="68.25" customHeight="1">
      <c r="B2" s="1536" t="s">
        <v>978</v>
      </c>
      <c r="C2" s="1536"/>
      <c r="D2" s="1536"/>
      <c r="E2" s="1536"/>
      <c r="F2" s="1536"/>
      <c r="G2" s="1536"/>
      <c r="H2" s="1536"/>
      <c r="I2" s="1536"/>
      <c r="J2" s="1536"/>
      <c r="K2" s="1536"/>
      <c r="L2" s="1536"/>
      <c r="M2" s="1536"/>
      <c r="N2" s="1536"/>
      <c r="O2" s="1536"/>
      <c r="P2" s="1536"/>
      <c r="Q2" s="1536"/>
      <c r="R2" s="1536"/>
      <c r="S2" s="1536"/>
      <c r="T2" s="1536"/>
      <c r="U2" s="1536"/>
      <c r="V2" s="1536"/>
      <c r="W2" s="1536"/>
    </row>
    <row r="3" spans="1:23" ht="15" customHeight="1">
      <c r="B3" s="388" t="s">
        <v>819</v>
      </c>
      <c r="C3" s="388"/>
      <c r="D3" s="82"/>
      <c r="E3" s="388">
        <v>166.17</v>
      </c>
      <c r="F3" s="859" t="s">
        <v>390</v>
      </c>
      <c r="G3" s="388" t="s">
        <v>835</v>
      </c>
      <c r="H3" s="860"/>
      <c r="I3" s="860"/>
      <c r="J3" s="863"/>
      <c r="K3" s="863"/>
      <c r="L3" s="863"/>
      <c r="M3" s="863"/>
      <c r="N3" s="863"/>
      <c r="O3" s="863"/>
      <c r="P3" s="863"/>
      <c r="Q3" s="863"/>
      <c r="R3" s="863"/>
      <c r="S3" s="863"/>
      <c r="T3" s="863"/>
      <c r="U3" s="863"/>
      <c r="V3" s="863"/>
      <c r="W3" s="863"/>
    </row>
    <row r="4" spans="1:23" ht="15" customHeight="1">
      <c r="B4" s="388" t="s">
        <v>820</v>
      </c>
      <c r="C4" s="388"/>
      <c r="D4" s="82"/>
      <c r="E4" s="400">
        <v>30</v>
      </c>
      <c r="F4" s="861" t="s">
        <v>390</v>
      </c>
      <c r="G4" s="400" t="s">
        <v>346</v>
      </c>
      <c r="H4" s="400"/>
      <c r="I4" s="82">
        <v>2379</v>
      </c>
      <c r="J4" s="864" t="s">
        <v>807</v>
      </c>
      <c r="K4" s="863"/>
      <c r="L4" s="863"/>
      <c r="M4" s="863"/>
      <c r="N4" s="863"/>
      <c r="O4" s="863"/>
      <c r="P4" s="863"/>
      <c r="Q4" s="863"/>
      <c r="R4" s="863"/>
      <c r="S4" s="863"/>
      <c r="T4" s="863"/>
      <c r="U4" s="863"/>
      <c r="V4" s="863"/>
      <c r="W4" s="863"/>
    </row>
    <row r="5" spans="1:23" ht="15" customHeight="1">
      <c r="B5" s="388" t="s">
        <v>821</v>
      </c>
      <c r="C5" s="400"/>
      <c r="D5" s="82"/>
      <c r="E5" s="400">
        <v>60</v>
      </c>
      <c r="F5" s="861" t="s">
        <v>390</v>
      </c>
      <c r="G5" s="400" t="s">
        <v>347</v>
      </c>
      <c r="H5" s="400"/>
      <c r="I5" s="400">
        <v>2481</v>
      </c>
      <c r="J5" s="864" t="s">
        <v>807</v>
      </c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</row>
    <row r="6" spans="1:23" ht="15" customHeight="1">
      <c r="B6" s="388" t="s">
        <v>824</v>
      </c>
      <c r="C6" s="400"/>
      <c r="D6" s="82"/>
      <c r="E6" s="400">
        <v>4</v>
      </c>
      <c r="F6" s="861" t="s">
        <v>390</v>
      </c>
      <c r="G6" s="400" t="s">
        <v>838</v>
      </c>
      <c r="H6" s="400"/>
      <c r="I6" s="862">
        <f>((I4*2)+(I5*10))/12</f>
        <v>2464</v>
      </c>
      <c r="J6" s="864" t="s">
        <v>807</v>
      </c>
      <c r="K6" s="863"/>
      <c r="L6" s="863"/>
      <c r="M6" s="863"/>
      <c r="N6" s="863"/>
      <c r="O6" s="863"/>
      <c r="P6" s="863"/>
      <c r="Q6" s="863"/>
      <c r="R6" s="863"/>
      <c r="S6" s="863"/>
      <c r="T6" s="863"/>
      <c r="U6" s="863"/>
      <c r="V6" s="863"/>
      <c r="W6" s="863"/>
    </row>
    <row r="7" spans="1:23" ht="16.5" thickBot="1">
      <c r="B7" s="1537" t="s">
        <v>807</v>
      </c>
      <c r="C7" s="1537"/>
      <c r="D7" s="1537"/>
      <c r="E7" s="1537"/>
      <c r="F7" s="1537"/>
      <c r="G7" s="1537"/>
      <c r="H7" s="1537"/>
      <c r="I7" s="1537"/>
      <c r="J7" s="1537"/>
      <c r="K7" s="1537"/>
      <c r="L7" s="1537"/>
      <c r="M7" s="1537"/>
      <c r="N7" s="1537"/>
      <c r="O7" s="1537"/>
      <c r="P7" s="1537"/>
      <c r="Q7" s="1537"/>
      <c r="R7" s="1537"/>
      <c r="S7" s="1537"/>
      <c r="T7" s="1537"/>
      <c r="U7" s="1537"/>
      <c r="V7" s="1537"/>
      <c r="W7" s="1537"/>
    </row>
    <row r="8" spans="1:23" ht="21" customHeight="1" thickBot="1">
      <c r="B8" s="1545" t="s">
        <v>595</v>
      </c>
      <c r="C8" s="1540" t="s">
        <v>750</v>
      </c>
      <c r="D8" s="1542" t="s">
        <v>292</v>
      </c>
      <c r="E8" s="1543"/>
      <c r="F8" s="1543"/>
      <c r="G8" s="1543"/>
      <c r="H8" s="1544"/>
      <c r="I8" s="1547" t="s">
        <v>589</v>
      </c>
      <c r="J8" s="1547"/>
      <c r="K8" s="1547"/>
      <c r="L8" s="1547"/>
      <c r="M8" s="1547"/>
      <c r="N8" s="1547"/>
      <c r="O8" s="1547"/>
      <c r="P8" s="1547"/>
      <c r="Q8" s="1548"/>
      <c r="R8" s="1538" t="s">
        <v>591</v>
      </c>
      <c r="S8" s="1538" t="s">
        <v>592</v>
      </c>
      <c r="T8" s="1538" t="s">
        <v>839</v>
      </c>
      <c r="U8" s="1538" t="s">
        <v>842</v>
      </c>
      <c r="V8" s="1538" t="s">
        <v>841</v>
      </c>
      <c r="W8" s="1538" t="s">
        <v>843</v>
      </c>
    </row>
    <row r="9" spans="1:23" ht="93.75" customHeight="1">
      <c r="B9" s="1546"/>
      <c r="C9" s="1541"/>
      <c r="D9" s="856" t="s">
        <v>840</v>
      </c>
      <c r="E9" s="856" t="s">
        <v>655</v>
      </c>
      <c r="F9" s="856" t="s">
        <v>654</v>
      </c>
      <c r="G9" s="856" t="s">
        <v>826</v>
      </c>
      <c r="H9" s="857" t="s">
        <v>751</v>
      </c>
      <c r="I9" s="858" t="s">
        <v>817</v>
      </c>
      <c r="J9" s="857" t="s">
        <v>818</v>
      </c>
      <c r="K9" s="857" t="s">
        <v>823</v>
      </c>
      <c r="L9" s="857" t="s">
        <v>822</v>
      </c>
      <c r="M9" s="857" t="s">
        <v>829</v>
      </c>
      <c r="N9" s="857" t="s">
        <v>830</v>
      </c>
      <c r="O9" s="857" t="s">
        <v>916</v>
      </c>
      <c r="P9" s="857" t="s">
        <v>831</v>
      </c>
      <c r="Q9" s="857" t="s">
        <v>832</v>
      </c>
      <c r="R9" s="1539"/>
      <c r="S9" s="1539"/>
      <c r="T9" s="1549"/>
      <c r="U9" s="1539"/>
      <c r="V9" s="1539"/>
      <c r="W9" s="1539"/>
    </row>
    <row r="10" spans="1:23" ht="35.1" customHeight="1">
      <c r="B10" s="847" t="s">
        <v>833</v>
      </c>
      <c r="C10" s="849">
        <v>26</v>
      </c>
      <c r="D10" s="850">
        <f t="shared" ref="D10:D17" si="0">$I$6</f>
        <v>2464</v>
      </c>
      <c r="E10" s="848">
        <v>1.6</v>
      </c>
      <c r="F10" s="850">
        <v>1.66</v>
      </c>
      <c r="G10" s="850">
        <v>1.08</v>
      </c>
      <c r="H10" s="850">
        <f t="shared" ref="H10:H17" si="1">D10*E10*F10*G10</f>
        <v>7067.9347200000002</v>
      </c>
      <c r="I10" s="850">
        <f>ROUND((H10/$E$3*$E$4*20%),2)</f>
        <v>255.21</v>
      </c>
      <c r="J10" s="850">
        <f>ROUND((H10/$E$3*$E$5*35%),2)</f>
        <v>893.22</v>
      </c>
      <c r="K10" s="850">
        <f>ROUND((H10/$E$3*$E$6*100%),2)</f>
        <v>170.14</v>
      </c>
      <c r="L10" s="850">
        <f>H10*0.04</f>
        <v>282.71738880000004</v>
      </c>
      <c r="M10" s="850"/>
      <c r="N10" s="850"/>
      <c r="O10" s="850"/>
      <c r="P10" s="850"/>
      <c r="Q10" s="850"/>
      <c r="R10" s="850"/>
      <c r="S10" s="850"/>
      <c r="T10" s="850">
        <f>H10+I10+J10+K10+L10+M10+N10+O10+P10+Q10</f>
        <v>8669.2221087999988</v>
      </c>
      <c r="U10" s="850">
        <f>T10*C10*6</f>
        <v>1352398.6489727998</v>
      </c>
      <c r="V10" s="850">
        <f>H10*C10*6</f>
        <v>1102597.81632</v>
      </c>
      <c r="W10" s="850">
        <f>(I10+J10+K10+L10+M10+N10+O10+P10+Q10)*6*C10</f>
        <v>249800.83265280002</v>
      </c>
    </row>
    <row r="11" spans="1:23" ht="35.1" customHeight="1">
      <c r="B11" s="847" t="s">
        <v>834</v>
      </c>
      <c r="C11" s="849">
        <v>1</v>
      </c>
      <c r="D11" s="850">
        <f t="shared" si="0"/>
        <v>2464</v>
      </c>
      <c r="E11" s="848">
        <v>1.6</v>
      </c>
      <c r="F11" s="850">
        <v>1.66</v>
      </c>
      <c r="G11" s="850">
        <v>1.08</v>
      </c>
      <c r="H11" s="850">
        <f>D11*E11*F11*G11</f>
        <v>7067.9347200000002</v>
      </c>
      <c r="I11" s="850"/>
      <c r="J11" s="850"/>
      <c r="K11" s="850"/>
      <c r="L11" s="850"/>
      <c r="M11" s="850"/>
      <c r="N11" s="850"/>
      <c r="O11" s="850"/>
      <c r="P11" s="850"/>
      <c r="Q11" s="850"/>
      <c r="R11" s="850"/>
      <c r="S11" s="850"/>
      <c r="T11" s="850">
        <f>H11+I11+J11+K11+L11+M11+N11+O11+P11+Q11</f>
        <v>7067.9347200000002</v>
      </c>
      <c r="U11" s="850">
        <f>T11*C11*6</f>
        <v>42407.608319999999</v>
      </c>
      <c r="V11" s="850">
        <f>H11*C11*6</f>
        <v>42407.608319999999</v>
      </c>
      <c r="W11" s="850">
        <f>(I11+J11+K11+L11+M11+N11+O11+P11+Q11)*6*C11</f>
        <v>0</v>
      </c>
    </row>
    <row r="12" spans="1:23" ht="35.1" customHeight="1">
      <c r="A12" s="1"/>
      <c r="B12" s="847" t="s">
        <v>834</v>
      </c>
      <c r="C12" s="849">
        <v>1</v>
      </c>
      <c r="D12" s="850">
        <f t="shared" si="0"/>
        <v>2464</v>
      </c>
      <c r="E12" s="848">
        <v>1.6</v>
      </c>
      <c r="F12" s="850">
        <v>1.66</v>
      </c>
      <c r="G12" s="850">
        <v>1.08</v>
      </c>
      <c r="H12" s="850">
        <f t="shared" si="1"/>
        <v>7067.9347200000002</v>
      </c>
      <c r="I12" s="850"/>
      <c r="J12" s="850"/>
      <c r="K12" s="850"/>
      <c r="L12" s="850"/>
      <c r="M12" s="850"/>
      <c r="N12" s="850"/>
      <c r="O12" s="850"/>
      <c r="P12" s="850"/>
      <c r="Q12" s="869">
        <f>H12*0.15</f>
        <v>1060.190208</v>
      </c>
      <c r="R12" s="850"/>
      <c r="S12" s="850"/>
      <c r="T12" s="850">
        <f t="shared" ref="T12:T17" si="2">H12+I12+J12+K12+L12+M12+N12+O12+P12+Q12</f>
        <v>8128.1249280000002</v>
      </c>
      <c r="U12" s="850">
        <f>T12*C12*6</f>
        <v>48768.749567999999</v>
      </c>
      <c r="V12" s="850">
        <f>H12*C12*6</f>
        <v>42407.608319999999</v>
      </c>
      <c r="W12" s="850">
        <f>(I12+J12+K12+L12+M12+N12+O12+P12+Q12)*6*C12</f>
        <v>6361.1412479999999</v>
      </c>
    </row>
    <row r="13" spans="1:23" ht="50.25" customHeight="1">
      <c r="A13" s="1"/>
      <c r="B13" s="847" t="s">
        <v>825</v>
      </c>
      <c r="C13" s="849">
        <v>6</v>
      </c>
      <c r="D13" s="850">
        <f t="shared" si="0"/>
        <v>2464</v>
      </c>
      <c r="E13" s="848">
        <v>1.6</v>
      </c>
      <c r="F13" s="850">
        <v>1.66</v>
      </c>
      <c r="G13" s="850">
        <v>1.54</v>
      </c>
      <c r="H13" s="850">
        <f t="shared" si="1"/>
        <v>10078.351360000001</v>
      </c>
      <c r="I13" s="850"/>
      <c r="J13" s="850"/>
      <c r="K13" s="850"/>
      <c r="L13" s="850"/>
      <c r="M13" s="850">
        <f>H13*0.08</f>
        <v>806.26810880000005</v>
      </c>
      <c r="N13" s="850"/>
      <c r="O13" s="850"/>
      <c r="P13" s="850"/>
      <c r="Q13" s="850"/>
      <c r="R13" s="850"/>
      <c r="S13" s="850"/>
      <c r="T13" s="850">
        <f t="shared" si="2"/>
        <v>10884.619468800001</v>
      </c>
      <c r="U13" s="850">
        <f>T13*C13*12</f>
        <v>783692.60175360006</v>
      </c>
      <c r="V13" s="850">
        <f>H13*C13*12</f>
        <v>725641.29792000004</v>
      </c>
      <c r="W13" s="850">
        <f>(I13+J13+K13+L13+M13+N13+O13+P13+Q13)*12*C13</f>
        <v>58051.303833600003</v>
      </c>
    </row>
    <row r="14" spans="1:23" ht="54" customHeight="1">
      <c r="A14" s="1"/>
      <c r="B14" s="847" t="s">
        <v>382</v>
      </c>
      <c r="C14" s="849">
        <v>2</v>
      </c>
      <c r="D14" s="850">
        <f t="shared" si="0"/>
        <v>2464</v>
      </c>
      <c r="E14" s="848">
        <v>1.6</v>
      </c>
      <c r="F14" s="850">
        <v>1.66</v>
      </c>
      <c r="G14" s="850">
        <v>1.54</v>
      </c>
      <c r="H14" s="850">
        <f t="shared" si="1"/>
        <v>10078.351360000001</v>
      </c>
      <c r="I14" s="850"/>
      <c r="J14" s="850"/>
      <c r="K14" s="850"/>
      <c r="L14" s="850">
        <f>H14*0.04</f>
        <v>403.13405440000002</v>
      </c>
      <c r="M14" s="850"/>
      <c r="N14" s="850"/>
      <c r="O14" s="850"/>
      <c r="P14" s="850"/>
      <c r="Q14" s="850"/>
      <c r="R14" s="850"/>
      <c r="S14" s="850"/>
      <c r="T14" s="850">
        <f t="shared" si="2"/>
        <v>10481.4854144</v>
      </c>
      <c r="U14" s="850">
        <f>T14*C14*12</f>
        <v>251555.64994560002</v>
      </c>
      <c r="V14" s="850">
        <f>H14*C14*12</f>
        <v>241880.43264000001</v>
      </c>
      <c r="W14" s="850">
        <f>(I14+J14+K14+L14+M14+N14+O14+P14+Q14)*12*C14</f>
        <v>9675.2173056000011</v>
      </c>
    </row>
    <row r="15" spans="1:23" ht="53.25" customHeight="1">
      <c r="A15" s="1"/>
      <c r="B15" s="847" t="s">
        <v>408</v>
      </c>
      <c r="C15" s="849">
        <v>1</v>
      </c>
      <c r="D15" s="850">
        <f t="shared" si="0"/>
        <v>2464</v>
      </c>
      <c r="E15" s="848">
        <v>1.6</v>
      </c>
      <c r="F15" s="850">
        <v>1.66</v>
      </c>
      <c r="G15" s="850">
        <v>1.54</v>
      </c>
      <c r="H15" s="850">
        <f t="shared" si="1"/>
        <v>10078.351360000001</v>
      </c>
      <c r="I15" s="850"/>
      <c r="J15" s="850"/>
      <c r="K15" s="850"/>
      <c r="L15" s="850">
        <f>H15*0.04</f>
        <v>403.13405440000002</v>
      </c>
      <c r="M15" s="850"/>
      <c r="N15" s="850"/>
      <c r="O15" s="850"/>
      <c r="P15" s="850">
        <f>H15*0.3</f>
        <v>3023.505408</v>
      </c>
      <c r="Q15" s="850"/>
      <c r="R15" s="850"/>
      <c r="S15" s="850"/>
      <c r="T15" s="850">
        <f t="shared" si="2"/>
        <v>13504.990822399999</v>
      </c>
      <c r="U15" s="850">
        <f>T15*C15*12</f>
        <v>162059.8898688</v>
      </c>
      <c r="V15" s="850">
        <f>H15*C15*12</f>
        <v>120940.21632000001</v>
      </c>
      <c r="W15" s="850">
        <f>(I15+J15+K15+L15+M15+N15+O15+P15+Q15)*12*C15</f>
        <v>41119.673548799998</v>
      </c>
    </row>
    <row r="16" spans="1:23" ht="51.75" customHeight="1">
      <c r="A16" s="1"/>
      <c r="B16" s="847" t="s">
        <v>827</v>
      </c>
      <c r="C16" s="855">
        <v>1</v>
      </c>
      <c r="D16" s="850">
        <f t="shared" si="0"/>
        <v>2464</v>
      </c>
      <c r="E16" s="848">
        <v>1.6</v>
      </c>
      <c r="F16" s="850">
        <v>1.66</v>
      </c>
      <c r="G16" s="850">
        <v>1.54</v>
      </c>
      <c r="H16" s="850">
        <f t="shared" si="1"/>
        <v>10078.351360000001</v>
      </c>
      <c r="I16" s="850"/>
      <c r="J16" s="850"/>
      <c r="K16" s="850"/>
      <c r="L16" s="850">
        <f>H16*0.04</f>
        <v>403.13405440000002</v>
      </c>
      <c r="M16" s="850"/>
      <c r="N16" s="850"/>
      <c r="O16" s="850">
        <f>H16*0.2</f>
        <v>2015.6702720000003</v>
      </c>
      <c r="P16" s="850"/>
      <c r="Q16" s="850"/>
      <c r="R16" s="850"/>
      <c r="S16" s="850"/>
      <c r="T16" s="850">
        <f t="shared" si="2"/>
        <v>12497.155686400001</v>
      </c>
      <c r="U16" s="850">
        <f>T16*C16*12</f>
        <v>149965.86823680002</v>
      </c>
      <c r="V16" s="850">
        <f>H16*C16*12</f>
        <v>120940.21632000001</v>
      </c>
      <c r="W16" s="850">
        <f>(I16+J16+K16+L16+M16+N16+O16+P16+Q16)*12*C16</f>
        <v>29025.651916800001</v>
      </c>
    </row>
    <row r="17" spans="1:23" ht="35.1" customHeight="1">
      <c r="A17" s="1"/>
      <c r="B17" s="847" t="s">
        <v>828</v>
      </c>
      <c r="C17" s="849">
        <v>1</v>
      </c>
      <c r="D17" s="850">
        <f t="shared" si="0"/>
        <v>2464</v>
      </c>
      <c r="E17" s="848">
        <v>1.6</v>
      </c>
      <c r="F17" s="850">
        <v>1.66</v>
      </c>
      <c r="G17" s="850">
        <v>1.8</v>
      </c>
      <c r="H17" s="850">
        <f t="shared" si="1"/>
        <v>11779.8912</v>
      </c>
      <c r="I17" s="850"/>
      <c r="J17" s="850"/>
      <c r="K17" s="850"/>
      <c r="L17" s="850"/>
      <c r="M17" s="850"/>
      <c r="N17" s="850">
        <f>H17*0.12</f>
        <v>1413.5869439999999</v>
      </c>
      <c r="O17" s="850"/>
      <c r="P17" s="850"/>
      <c r="Q17" s="850"/>
      <c r="R17" s="850"/>
      <c r="S17" s="850"/>
      <c r="T17" s="850">
        <f t="shared" si="2"/>
        <v>13193.478144000001</v>
      </c>
      <c r="U17" s="850">
        <f>T17*C17*12</f>
        <v>158321.73772800001</v>
      </c>
      <c r="V17" s="850">
        <f>H17*C17*12</f>
        <v>141358.69440000001</v>
      </c>
      <c r="W17" s="850">
        <f>(I17+J17+K17+L17+M17+N17+O17+P17+Q17)*12*C17</f>
        <v>16963.043328</v>
      </c>
    </row>
    <row r="18" spans="1:23" ht="35.1" customHeight="1">
      <c r="A18" s="1"/>
      <c r="B18" s="852" t="s">
        <v>590</v>
      </c>
      <c r="C18" s="854">
        <f>SUM(C10:C17)</f>
        <v>39</v>
      </c>
      <c r="D18" s="853"/>
      <c r="E18" s="853"/>
      <c r="F18" s="853"/>
      <c r="G18" s="853"/>
      <c r="H18" s="853">
        <f>SUM(H10:H17)</f>
        <v>73297.1008</v>
      </c>
      <c r="I18" s="853">
        <f t="shared" ref="I18:W18" si="3">SUM(I10:I17)</f>
        <v>255.21</v>
      </c>
      <c r="J18" s="853">
        <f>SUM(J10:J17)</f>
        <v>893.22</v>
      </c>
      <c r="K18" s="853">
        <f>SUM(K10:K17)</f>
        <v>170.14</v>
      </c>
      <c r="L18" s="853">
        <f>SUM(L10:L17)</f>
        <v>1492.1195520000001</v>
      </c>
      <c r="M18" s="853">
        <f t="shared" si="3"/>
        <v>806.26810880000005</v>
      </c>
      <c r="N18" s="853">
        <f t="shared" si="3"/>
        <v>1413.5869439999999</v>
      </c>
      <c r="O18" s="853">
        <f t="shared" si="3"/>
        <v>2015.6702720000003</v>
      </c>
      <c r="P18" s="853">
        <f t="shared" si="3"/>
        <v>3023.505408</v>
      </c>
      <c r="Q18" s="853">
        <f t="shared" si="3"/>
        <v>1060.190208</v>
      </c>
      <c r="R18" s="853">
        <f t="shared" si="3"/>
        <v>0</v>
      </c>
      <c r="S18" s="853">
        <f t="shared" si="3"/>
        <v>0</v>
      </c>
      <c r="T18" s="853">
        <f t="shared" si="3"/>
        <v>84427.011292799987</v>
      </c>
      <c r="U18" s="853">
        <f t="shared" si="3"/>
        <v>2949170.7543935999</v>
      </c>
      <c r="V18" s="853">
        <f t="shared" si="3"/>
        <v>2538173.8905600002</v>
      </c>
      <c r="W18" s="853">
        <f t="shared" si="3"/>
        <v>410996.86383360001</v>
      </c>
    </row>
    <row r="19" spans="1:23" s="538" customFormat="1" ht="35.1" customHeight="1">
      <c r="B19" s="1379" t="s">
        <v>918</v>
      </c>
      <c r="C19" s="1380"/>
      <c r="D19" s="1380"/>
      <c r="E19" s="1380"/>
      <c r="F19" s="1380"/>
      <c r="G19" s="1380"/>
      <c r="H19" s="1380"/>
      <c r="I19" s="1380"/>
      <c r="J19" s="1380"/>
      <c r="K19" s="1380"/>
      <c r="L19" s="1380"/>
      <c r="M19" s="1380"/>
      <c r="N19" s="1380"/>
      <c r="O19" s="1380"/>
      <c r="P19" s="1380"/>
      <c r="Q19" s="1380"/>
      <c r="R19" s="1380"/>
      <c r="S19" s="1380"/>
      <c r="T19" s="1380"/>
      <c r="U19" s="1381">
        <f>V19+W19</f>
        <v>136737.865792</v>
      </c>
      <c r="V19" s="1381">
        <f>H10*4+V11+V12+H13</f>
        <v>123165.30688</v>
      </c>
      <c r="W19" s="1381">
        <f>W12+M13+(I10+J10+K10+L10)*4</f>
        <v>13572.558912</v>
      </c>
    </row>
    <row r="20" spans="1:23">
      <c r="B20" s="462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9"/>
      <c r="V20" s="349"/>
      <c r="W20" s="345"/>
    </row>
    <row r="21" spans="1:23" s="84" customFormat="1" ht="48.75" customHeight="1">
      <c r="B21" s="1535" t="s">
        <v>204</v>
      </c>
      <c r="C21" s="1456"/>
      <c r="D21" s="1456"/>
      <c r="E21" s="1456"/>
      <c r="F21" s="1456"/>
      <c r="G21" s="1456"/>
      <c r="H21" s="1456"/>
      <c r="I21" s="1456"/>
      <c r="J21" s="1456"/>
      <c r="K21" s="1456"/>
      <c r="L21" s="1456"/>
      <c r="M21" s="1456"/>
      <c r="N21" s="1456"/>
      <c r="O21" s="1456"/>
      <c r="P21" s="1456"/>
      <c r="Q21" s="1456"/>
      <c r="R21" s="1456"/>
      <c r="S21" s="1456"/>
      <c r="T21" s="1456"/>
      <c r="U21" s="1456"/>
      <c r="V21" s="1456"/>
      <c r="W21" s="1456"/>
    </row>
    <row r="22" spans="1:23">
      <c r="B22" s="346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</row>
    <row r="23" spans="1:23">
      <c r="B23" s="346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</row>
    <row r="24" spans="1:23">
      <c r="B24" s="346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</row>
    <row r="25" spans="1:23">
      <c r="B25" s="346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</row>
    <row r="26" spans="1:23">
      <c r="B26" s="346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</row>
    <row r="27" spans="1:23">
      <c r="B27" s="346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</row>
    <row r="28" spans="1:23">
      <c r="B28" s="345"/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</row>
    <row r="29" spans="1:23">
      <c r="B29" s="345"/>
      <c r="C29" s="345"/>
      <c r="D29" s="345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</row>
    <row r="30" spans="1:23">
      <c r="B30" s="345"/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</row>
    <row r="31" spans="1:23">
      <c r="B31" s="345"/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</row>
    <row r="32" spans="1:23"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</row>
    <row r="33" spans="2:23"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45"/>
    </row>
    <row r="34" spans="2:23"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</row>
    <row r="35" spans="2:23">
      <c r="B35" s="345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</row>
    <row r="36" spans="2:23"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</row>
    <row r="37" spans="2:23"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  <c r="T37" s="345"/>
      <c r="U37" s="345"/>
      <c r="V37" s="345"/>
      <c r="W37" s="345"/>
    </row>
    <row r="38" spans="2:23"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345"/>
      <c r="P38" s="345"/>
      <c r="Q38" s="345"/>
      <c r="R38" s="345"/>
      <c r="S38" s="345"/>
      <c r="T38" s="345"/>
      <c r="U38" s="345"/>
      <c r="V38" s="345"/>
      <c r="W38" s="345"/>
    </row>
    <row r="39" spans="2:23">
      <c r="B39" s="345"/>
      <c r="C39" s="345"/>
      <c r="D39" s="345"/>
      <c r="E39" s="345"/>
      <c r="F39" s="345"/>
      <c r="G39" s="345"/>
      <c r="H39" s="345"/>
      <c r="I39" s="345"/>
      <c r="J39" s="345"/>
      <c r="K39" s="345"/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</row>
    <row r="40" spans="2:23">
      <c r="B40" s="345"/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</row>
    <row r="41" spans="2:23">
      <c r="B41" s="345"/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5"/>
      <c r="O41" s="345"/>
      <c r="P41" s="345"/>
      <c r="Q41" s="345"/>
      <c r="R41" s="345"/>
      <c r="S41" s="345"/>
      <c r="T41" s="345"/>
      <c r="U41" s="345"/>
      <c r="V41" s="345"/>
      <c r="W41" s="345"/>
    </row>
    <row r="42" spans="2:23">
      <c r="B42" s="345"/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</row>
    <row r="43" spans="2:23">
      <c r="B43" s="345"/>
      <c r="C43" s="345"/>
      <c r="D43" s="345"/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</row>
    <row r="44" spans="2:23">
      <c r="B44" s="345"/>
      <c r="C44" s="345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</row>
    <row r="45" spans="2:23">
      <c r="B45" s="345"/>
      <c r="C45" s="345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</row>
    <row r="46" spans="2:23">
      <c r="B46" s="345"/>
      <c r="C46" s="345"/>
      <c r="D46" s="345"/>
      <c r="E46" s="345"/>
      <c r="F46" s="345"/>
      <c r="G46" s="345"/>
      <c r="H46" s="345"/>
      <c r="I46" s="345"/>
      <c r="J46" s="345"/>
      <c r="K46" s="345"/>
      <c r="L46" s="345"/>
      <c r="M46" s="345"/>
      <c r="N46" s="345"/>
      <c r="O46" s="345"/>
      <c r="P46" s="345"/>
      <c r="Q46" s="345"/>
      <c r="R46" s="345"/>
      <c r="S46" s="345"/>
      <c r="T46" s="345"/>
      <c r="U46" s="345"/>
      <c r="V46" s="345"/>
      <c r="W46" s="345"/>
    </row>
    <row r="47" spans="2:23">
      <c r="B47" s="345"/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</row>
    <row r="48" spans="2:23">
      <c r="B48" s="345"/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345"/>
      <c r="P48" s="345"/>
      <c r="Q48" s="345"/>
      <c r="R48" s="345"/>
      <c r="S48" s="345"/>
      <c r="T48" s="345"/>
      <c r="U48" s="345"/>
      <c r="V48" s="345"/>
      <c r="W48" s="345"/>
    </row>
    <row r="49" spans="2:23">
      <c r="B49" s="345"/>
      <c r="C49" s="345"/>
      <c r="D49" s="345"/>
      <c r="E49" s="345"/>
      <c r="F49" s="345"/>
      <c r="G49" s="345"/>
      <c r="H49" s="345"/>
      <c r="I49" s="345"/>
      <c r="J49" s="345"/>
      <c r="K49" s="345"/>
      <c r="L49" s="345"/>
      <c r="M49" s="345"/>
      <c r="N49" s="345"/>
      <c r="O49" s="345"/>
      <c r="P49" s="345"/>
      <c r="Q49" s="345"/>
      <c r="R49" s="345"/>
      <c r="S49" s="345"/>
      <c r="T49" s="345"/>
      <c r="U49" s="345"/>
      <c r="V49" s="345"/>
      <c r="W49" s="345"/>
    </row>
    <row r="50" spans="2:23">
      <c r="B50" s="345"/>
      <c r="C50" s="345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</row>
    <row r="51" spans="2:23">
      <c r="B51" s="345"/>
      <c r="C51" s="345"/>
      <c r="D51" s="345"/>
      <c r="E51" s="345"/>
      <c r="F51" s="345"/>
      <c r="G51" s="345"/>
      <c r="H51" s="345"/>
      <c r="I51" s="345"/>
      <c r="J51" s="345"/>
      <c r="K51" s="345"/>
      <c r="L51" s="345"/>
      <c r="M51" s="345"/>
      <c r="N51" s="345"/>
      <c r="O51" s="345"/>
      <c r="P51" s="345"/>
      <c r="Q51" s="345"/>
      <c r="R51" s="345"/>
      <c r="S51" s="345"/>
      <c r="T51" s="345"/>
      <c r="U51" s="345"/>
      <c r="V51" s="345"/>
      <c r="W51" s="345"/>
    </row>
    <row r="52" spans="2:23">
      <c r="B52" s="345"/>
      <c r="C52" s="345"/>
      <c r="D52" s="345"/>
      <c r="E52" s="345"/>
      <c r="F52" s="345"/>
      <c r="G52" s="345"/>
      <c r="H52" s="345"/>
      <c r="I52" s="345"/>
      <c r="J52" s="345"/>
      <c r="K52" s="345"/>
      <c r="L52" s="345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</row>
  </sheetData>
  <mergeCells count="14">
    <mergeCell ref="V1:W1"/>
    <mergeCell ref="V8:V9"/>
    <mergeCell ref="B21:W21"/>
    <mergeCell ref="B2:W2"/>
    <mergeCell ref="B7:W7"/>
    <mergeCell ref="W8:W9"/>
    <mergeCell ref="S8:S9"/>
    <mergeCell ref="R8:R9"/>
    <mergeCell ref="C8:C9"/>
    <mergeCell ref="D8:H8"/>
    <mergeCell ref="U8:U9"/>
    <mergeCell ref="B8:B9"/>
    <mergeCell ref="I8:Q8"/>
    <mergeCell ref="T8:T9"/>
  </mergeCells>
  <phoneticPr fontId="0" type="noConversion"/>
  <pageMargins left="0.96" right="0.39370078740157483" top="0.51181102362204722" bottom="0.39370078740157483" header="0.43307086614173229" footer="0.42"/>
  <pageSetup paperSize="9" scale="46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S49"/>
  <sheetViews>
    <sheetView topLeftCell="D11" zoomScaleSheetLayoutView="80" workbookViewId="0">
      <selection activeCell="A2" sqref="A2:S18"/>
    </sheetView>
  </sheetViews>
  <sheetFormatPr defaultRowHeight="12.75"/>
  <cols>
    <col min="1" max="1" width="1.85546875" customWidth="1"/>
    <col min="2" max="2" width="41.28515625" customWidth="1"/>
    <col min="3" max="3" width="8.85546875" hidden="1" customWidth="1"/>
    <col min="4" max="4" width="11.28515625" customWidth="1"/>
    <col min="5" max="5" width="14.7109375" customWidth="1"/>
    <col min="6" max="6" width="13.140625" customWidth="1"/>
    <col min="7" max="7" width="13.7109375" customWidth="1"/>
    <col min="8" max="8" width="12.5703125" customWidth="1"/>
    <col min="9" max="9" width="14.85546875" customWidth="1"/>
    <col min="10" max="10" width="10" customWidth="1"/>
    <col min="11" max="11" width="11.7109375" customWidth="1"/>
    <col min="12" max="12" width="9.85546875" customWidth="1"/>
    <col min="13" max="13" width="11.85546875" customWidth="1"/>
    <col min="14" max="14" width="10.140625" hidden="1" customWidth="1"/>
    <col min="15" max="15" width="1.85546875" hidden="1" customWidth="1"/>
    <col min="16" max="16" width="15" customWidth="1"/>
    <col min="17" max="18" width="14.5703125" customWidth="1"/>
    <col min="19" max="19" width="17" customWidth="1"/>
  </cols>
  <sheetData>
    <row r="1" spans="1:19" ht="34.5" customHeight="1">
      <c r="B1" s="463"/>
      <c r="C1" s="347"/>
      <c r="D1" s="347"/>
      <c r="E1" s="347"/>
      <c r="F1" s="448"/>
      <c r="G1" s="347"/>
      <c r="H1" s="391"/>
      <c r="I1" s="537"/>
      <c r="J1" s="537"/>
      <c r="K1" s="537"/>
      <c r="L1" s="537"/>
      <c r="M1" s="537"/>
      <c r="N1" s="391"/>
      <c r="O1" s="391"/>
      <c r="P1" s="391"/>
      <c r="S1" s="345" t="s">
        <v>227</v>
      </c>
    </row>
    <row r="2" spans="1:19" ht="41.25" customHeight="1">
      <c r="B2" s="1553" t="s">
        <v>856</v>
      </c>
      <c r="C2" s="1553"/>
      <c r="D2" s="1553"/>
      <c r="E2" s="1553"/>
      <c r="F2" s="1553"/>
      <c r="G2" s="1553"/>
      <c r="H2" s="1553"/>
      <c r="I2" s="1553"/>
      <c r="J2" s="1553"/>
      <c r="K2" s="1553"/>
      <c r="L2" s="1553"/>
      <c r="M2" s="1553"/>
      <c r="N2" s="1553"/>
      <c r="O2" s="1553"/>
      <c r="P2" s="1553"/>
      <c r="Q2" s="1553"/>
      <c r="R2" s="1553"/>
      <c r="S2" s="1553"/>
    </row>
    <row r="3" spans="1:19" ht="15" customHeight="1">
      <c r="B3" s="388" t="s">
        <v>835</v>
      </c>
      <c r="C3" s="860"/>
      <c r="D3" s="860"/>
      <c r="E3" s="865"/>
      <c r="F3" s="845"/>
      <c r="G3" s="845"/>
      <c r="H3" s="845"/>
      <c r="I3" s="845"/>
      <c r="J3" s="845"/>
      <c r="K3" s="845"/>
      <c r="L3" s="845"/>
      <c r="M3" s="845"/>
      <c r="N3" s="845"/>
      <c r="O3" s="845"/>
      <c r="P3" s="845"/>
      <c r="Q3" s="845"/>
      <c r="R3" s="845"/>
      <c r="S3" s="845"/>
    </row>
    <row r="4" spans="1:19" ht="15" customHeight="1">
      <c r="B4" s="400" t="s">
        <v>836</v>
      </c>
      <c r="C4" s="400"/>
      <c r="D4" s="82">
        <v>2379</v>
      </c>
      <c r="E4" s="866" t="s">
        <v>807</v>
      </c>
      <c r="F4" s="845"/>
      <c r="G4" s="845"/>
      <c r="H4" s="845"/>
      <c r="I4" s="845"/>
      <c r="J4" s="845"/>
      <c r="K4" s="845"/>
      <c r="L4" s="845"/>
      <c r="M4" s="845"/>
      <c r="N4" s="845"/>
      <c r="O4" s="845"/>
      <c r="P4" s="845"/>
      <c r="Q4" s="845"/>
      <c r="R4" s="845"/>
      <c r="S4" s="845"/>
    </row>
    <row r="5" spans="1:19" ht="15" customHeight="1">
      <c r="B5" s="400" t="s">
        <v>837</v>
      </c>
      <c r="C5" s="400"/>
      <c r="D5" s="400">
        <v>2481</v>
      </c>
      <c r="E5" s="866" t="s">
        <v>807</v>
      </c>
      <c r="F5" s="845"/>
      <c r="G5" s="845"/>
      <c r="H5" s="845"/>
      <c r="I5" s="845"/>
      <c r="J5" s="845"/>
      <c r="K5" s="845"/>
      <c r="L5" s="845"/>
      <c r="M5" s="845"/>
      <c r="N5" s="845"/>
      <c r="O5" s="845"/>
      <c r="P5" s="845"/>
      <c r="Q5" s="845"/>
      <c r="R5" s="845"/>
      <c r="S5" s="845"/>
    </row>
    <row r="6" spans="1:19" ht="15" customHeight="1">
      <c r="B6" s="400" t="s">
        <v>838</v>
      </c>
      <c r="C6" s="400"/>
      <c r="D6" s="862">
        <f>((D4*2)+(D5*10))/12</f>
        <v>2464</v>
      </c>
      <c r="E6" s="866" t="s">
        <v>807</v>
      </c>
      <c r="F6" s="845"/>
      <c r="G6" s="845"/>
      <c r="H6" s="845"/>
      <c r="I6" s="845"/>
      <c r="J6" s="845"/>
      <c r="K6" s="845"/>
      <c r="L6" s="845"/>
      <c r="M6" s="845"/>
      <c r="N6" s="845"/>
      <c r="O6" s="845"/>
      <c r="P6" s="845"/>
      <c r="Q6" s="845"/>
      <c r="R6" s="845"/>
      <c r="S6" s="845"/>
    </row>
    <row r="7" spans="1:19" ht="13.5" thickBot="1">
      <c r="B7" s="1554" t="s">
        <v>807</v>
      </c>
      <c r="C7" s="1554"/>
      <c r="D7" s="1554"/>
      <c r="E7" s="1554"/>
      <c r="F7" s="1554"/>
      <c r="G7" s="1554"/>
      <c r="H7" s="1554"/>
      <c r="I7" s="1554"/>
      <c r="J7" s="1554"/>
      <c r="K7" s="1554"/>
      <c r="L7" s="1554"/>
      <c r="M7" s="1554"/>
      <c r="N7" s="1554"/>
      <c r="O7" s="1554"/>
      <c r="P7" s="1554"/>
      <c r="Q7" s="1554"/>
      <c r="R7" s="1554"/>
      <c r="S7" s="1554"/>
    </row>
    <row r="8" spans="1:19" ht="19.5" customHeight="1" thickBot="1">
      <c r="B8" s="1555" t="s">
        <v>595</v>
      </c>
      <c r="C8" s="1557" t="s">
        <v>752</v>
      </c>
      <c r="D8" s="1557" t="s">
        <v>750</v>
      </c>
      <c r="E8" s="1559" t="s">
        <v>292</v>
      </c>
      <c r="F8" s="1560"/>
      <c r="G8" s="1560"/>
      <c r="H8" s="1560"/>
      <c r="I8" s="1561"/>
      <c r="J8" s="1563" t="s">
        <v>589</v>
      </c>
      <c r="K8" s="1564"/>
      <c r="L8" s="1564"/>
      <c r="M8" s="1565"/>
      <c r="N8" s="1551" t="s">
        <v>591</v>
      </c>
      <c r="O8" s="1551" t="s">
        <v>592</v>
      </c>
      <c r="P8" s="1551" t="s">
        <v>839</v>
      </c>
      <c r="Q8" s="1551" t="s">
        <v>842</v>
      </c>
      <c r="R8" s="1551" t="s">
        <v>841</v>
      </c>
      <c r="S8" s="1551" t="s">
        <v>843</v>
      </c>
    </row>
    <row r="9" spans="1:19" ht="93.75" customHeight="1">
      <c r="B9" s="1556"/>
      <c r="C9" s="1558"/>
      <c r="D9" s="1558"/>
      <c r="E9" s="719" t="s">
        <v>840</v>
      </c>
      <c r="F9" s="719" t="s">
        <v>655</v>
      </c>
      <c r="G9" s="719" t="s">
        <v>654</v>
      </c>
      <c r="H9" s="719" t="s">
        <v>826</v>
      </c>
      <c r="I9" s="720" t="s">
        <v>751</v>
      </c>
      <c r="J9" s="846" t="s">
        <v>848</v>
      </c>
      <c r="K9" s="720" t="s">
        <v>822</v>
      </c>
      <c r="L9" s="720" t="s">
        <v>829</v>
      </c>
      <c r="M9" s="720" t="s">
        <v>830</v>
      </c>
      <c r="N9" s="1552"/>
      <c r="O9" s="1552"/>
      <c r="P9" s="1562"/>
      <c r="Q9" s="1552"/>
      <c r="R9" s="1552"/>
      <c r="S9" s="1552"/>
    </row>
    <row r="10" spans="1:19" ht="35.1" customHeight="1">
      <c r="B10" s="847" t="s">
        <v>857</v>
      </c>
      <c r="C10" s="848"/>
      <c r="D10" s="849">
        <v>3</v>
      </c>
      <c r="E10" s="850">
        <f>$D$6</f>
        <v>2464</v>
      </c>
      <c r="F10" s="848">
        <v>1.6</v>
      </c>
      <c r="G10" s="850">
        <v>1.66</v>
      </c>
      <c r="H10" s="850">
        <v>1.54</v>
      </c>
      <c r="I10" s="850">
        <f>E10*F10*G10*H10</f>
        <v>10078.351360000001</v>
      </c>
      <c r="J10" s="850"/>
      <c r="K10" s="850"/>
      <c r="L10" s="850">
        <f>I10*0.08</f>
        <v>806.26810880000005</v>
      </c>
      <c r="M10" s="850"/>
      <c r="N10" s="850"/>
      <c r="O10" s="850"/>
      <c r="P10" s="850">
        <f>I10+J10+K10+L10+M10</f>
        <v>10884.619468800001</v>
      </c>
      <c r="Q10" s="850">
        <f>P10*12*D10</f>
        <v>391846.30087680003</v>
      </c>
      <c r="R10" s="850">
        <f>I10*D10*12</f>
        <v>362820.64896000002</v>
      </c>
      <c r="S10" s="850">
        <f>(J10+K10+L10+M10)*12*D10</f>
        <v>29025.651916800001</v>
      </c>
    </row>
    <row r="11" spans="1:19" ht="35.1" customHeight="1">
      <c r="A11" s="1"/>
      <c r="B11" s="847" t="s">
        <v>858</v>
      </c>
      <c r="C11" s="849">
        <v>1</v>
      </c>
      <c r="D11" s="849">
        <v>1</v>
      </c>
      <c r="E11" s="850">
        <f>$D$6</f>
        <v>2464</v>
      </c>
      <c r="F11" s="848">
        <v>1.6</v>
      </c>
      <c r="G11" s="850">
        <v>1.66</v>
      </c>
      <c r="H11" s="850">
        <v>1.54</v>
      </c>
      <c r="I11" s="850">
        <f>E11*F11*G11*H11</f>
        <v>10078.351360000001</v>
      </c>
      <c r="J11" s="850"/>
      <c r="K11" s="850"/>
      <c r="L11" s="850"/>
      <c r="M11" s="850">
        <f>I11*0.12</f>
        <v>1209.4021632000001</v>
      </c>
      <c r="N11" s="850"/>
      <c r="O11" s="850"/>
      <c r="P11" s="850">
        <f>I11+J11+K11+L11+M11</f>
        <v>11287.753523200001</v>
      </c>
      <c r="Q11" s="850">
        <f>P11*12*D11</f>
        <v>135453.04227840001</v>
      </c>
      <c r="R11" s="850">
        <f>I11*D11*12</f>
        <v>120940.21632000001</v>
      </c>
      <c r="S11" s="850">
        <f>(J11+K11+L11+M11)*12*D11</f>
        <v>14512.825958400001</v>
      </c>
    </row>
    <row r="12" spans="1:19" ht="35.1" customHeight="1">
      <c r="A12" s="1"/>
      <c r="B12" s="847" t="s">
        <v>859</v>
      </c>
      <c r="C12" s="849"/>
      <c r="D12" s="849">
        <v>1</v>
      </c>
      <c r="E12" s="850">
        <f>$D$6</f>
        <v>2464</v>
      </c>
      <c r="F12" s="848">
        <v>1.4</v>
      </c>
      <c r="G12" s="850">
        <v>1.66</v>
      </c>
      <c r="H12" s="850">
        <v>1.54</v>
      </c>
      <c r="I12" s="850">
        <f>E12*F12*G12*H12</f>
        <v>8818.5574399999987</v>
      </c>
      <c r="J12" s="850"/>
      <c r="K12" s="850">
        <f>I12*0.04</f>
        <v>352.74229759999997</v>
      </c>
      <c r="L12" s="850"/>
      <c r="M12" s="850"/>
      <c r="N12" s="850"/>
      <c r="O12" s="850"/>
      <c r="P12" s="850">
        <f>I12+J12+K12+L12+M12</f>
        <v>9171.2997375999985</v>
      </c>
      <c r="Q12" s="850">
        <f>P12*12*D12</f>
        <v>110055.59685119998</v>
      </c>
      <c r="R12" s="850">
        <f>I12*D12*12</f>
        <v>105822.68927999999</v>
      </c>
      <c r="S12" s="850">
        <f>(J12+K12+L12+M12)*12*D12</f>
        <v>4232.9075711999994</v>
      </c>
    </row>
    <row r="13" spans="1:19" ht="35.1" customHeight="1">
      <c r="A13" s="1"/>
      <c r="B13" s="847" t="s">
        <v>383</v>
      </c>
      <c r="C13" s="849"/>
      <c r="D13" s="849">
        <v>1</v>
      </c>
      <c r="E13" s="850">
        <f>$D$6</f>
        <v>2464</v>
      </c>
      <c r="F13" s="848">
        <v>1.6</v>
      </c>
      <c r="G13" s="850">
        <v>1.66</v>
      </c>
      <c r="H13" s="850">
        <v>1.54</v>
      </c>
      <c r="I13" s="850">
        <f>E13*F13*G13*H13</f>
        <v>10078.351360000001</v>
      </c>
      <c r="J13" s="850"/>
      <c r="K13" s="850">
        <f>I13*0.04</f>
        <v>403.13405440000002</v>
      </c>
      <c r="L13" s="850"/>
      <c r="M13" s="850"/>
      <c r="N13" s="850"/>
      <c r="O13" s="850"/>
      <c r="P13" s="850">
        <f>I13+J13+K13+L13+M13</f>
        <v>10481.4854144</v>
      </c>
      <c r="Q13" s="850">
        <f>P13*12*D13</f>
        <v>125777.82497280001</v>
      </c>
      <c r="R13" s="850">
        <f>I13*D13*12</f>
        <v>120940.21632000001</v>
      </c>
      <c r="S13" s="850">
        <f>(J13+K13+L13+M13)*12*D13</f>
        <v>4837.6086528000005</v>
      </c>
    </row>
    <row r="14" spans="1:19" ht="35.1" customHeight="1">
      <c r="A14" s="1"/>
      <c r="B14" s="847" t="s">
        <v>845</v>
      </c>
      <c r="C14" s="849"/>
      <c r="D14" s="849">
        <v>1</v>
      </c>
      <c r="E14" s="850">
        <f>$D$6</f>
        <v>2464</v>
      </c>
      <c r="F14" s="848">
        <v>1.6</v>
      </c>
      <c r="G14" s="850">
        <v>1.55</v>
      </c>
      <c r="H14" s="850"/>
      <c r="I14" s="850">
        <f>E14*F14*G14</f>
        <v>6110.72</v>
      </c>
      <c r="J14" s="850">
        <f>I14*0.1</f>
        <v>611.072</v>
      </c>
      <c r="K14" s="850"/>
      <c r="L14" s="850"/>
      <c r="M14" s="850"/>
      <c r="N14" s="850"/>
      <c r="O14" s="850"/>
      <c r="P14" s="850">
        <f>I14+J14+K14+L14+M14</f>
        <v>6721.7920000000004</v>
      </c>
      <c r="Q14" s="850">
        <f>P14*12*D14</f>
        <v>80661.504000000001</v>
      </c>
      <c r="R14" s="850">
        <f>I14*D14*12</f>
        <v>73328.639999999999</v>
      </c>
      <c r="S14" s="850">
        <f>(J14+K14+L14+M14)*12*D14</f>
        <v>7332.8639999999996</v>
      </c>
    </row>
    <row r="15" spans="1:19" ht="35.1" customHeight="1">
      <c r="A15" s="1"/>
      <c r="B15" s="852" t="s">
        <v>590</v>
      </c>
      <c r="C15" s="853" t="e">
        <f>#REF!+#REF!+#REF!</f>
        <v>#REF!</v>
      </c>
      <c r="D15" s="854">
        <f>SUM(D10:D14)</f>
        <v>7</v>
      </c>
      <c r="E15" s="853"/>
      <c r="F15" s="853"/>
      <c r="G15" s="853"/>
      <c r="H15" s="853"/>
      <c r="I15" s="853">
        <f>SUM(I10:I14)</f>
        <v>45164.33152</v>
      </c>
      <c r="J15" s="853">
        <f t="shared" ref="J15:S15" si="0">SUM(J10:J14)</f>
        <v>611.072</v>
      </c>
      <c r="K15" s="853">
        <f t="shared" si="0"/>
        <v>755.876352</v>
      </c>
      <c r="L15" s="853">
        <f t="shared" si="0"/>
        <v>806.26810880000005</v>
      </c>
      <c r="M15" s="853">
        <f t="shared" si="0"/>
        <v>1209.4021632000001</v>
      </c>
      <c r="N15" s="853">
        <f t="shared" si="0"/>
        <v>0</v>
      </c>
      <c r="O15" s="853">
        <f t="shared" si="0"/>
        <v>0</v>
      </c>
      <c r="P15" s="853">
        <f t="shared" si="0"/>
        <v>48546.950144000002</v>
      </c>
      <c r="Q15" s="853">
        <f t="shared" si="0"/>
        <v>843794.26897919993</v>
      </c>
      <c r="R15" s="853">
        <f t="shared" si="0"/>
        <v>783852.4108800001</v>
      </c>
      <c r="S15" s="853">
        <f t="shared" si="0"/>
        <v>59941.858099199999</v>
      </c>
    </row>
    <row r="16" spans="1:19">
      <c r="B16" s="462"/>
      <c r="C16" s="346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</row>
    <row r="17" spans="2:19">
      <c r="B17" s="462"/>
      <c r="C17" s="346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9"/>
      <c r="R17" s="349"/>
      <c r="S17" s="345"/>
    </row>
    <row r="18" spans="2:19" ht="18">
      <c r="B18" s="1535" t="s">
        <v>206</v>
      </c>
      <c r="C18" s="1456"/>
      <c r="D18" s="1456"/>
      <c r="E18" s="1456"/>
      <c r="F18" s="1456"/>
      <c r="G18" s="1456"/>
      <c r="H18" s="1456"/>
      <c r="I18" s="1456"/>
      <c r="J18" s="1456"/>
      <c r="K18" s="1456"/>
      <c r="L18" s="1456"/>
      <c r="M18" s="1456"/>
      <c r="N18" s="1456"/>
      <c r="O18" s="1456"/>
      <c r="P18" s="1456"/>
      <c r="Q18" s="1456"/>
      <c r="R18" s="1456"/>
      <c r="S18" s="1456"/>
    </row>
    <row r="19" spans="2:19">
      <c r="B19" s="346"/>
      <c r="C19" s="346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</row>
    <row r="20" spans="2:19">
      <c r="B20" s="346"/>
      <c r="C20" s="346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</row>
    <row r="21" spans="2:19">
      <c r="B21" s="346"/>
      <c r="C21" s="346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</row>
    <row r="22" spans="2:19">
      <c r="B22" s="346"/>
      <c r="C22" s="346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</row>
    <row r="23" spans="2:19">
      <c r="B23" s="346"/>
      <c r="C23" s="346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</row>
    <row r="24" spans="2:19">
      <c r="B24" s="346"/>
      <c r="C24" s="346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</row>
    <row r="25" spans="2:19"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</row>
    <row r="26" spans="2:19"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</row>
    <row r="27" spans="2:19"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</row>
    <row r="28" spans="2:19">
      <c r="B28" s="345"/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</row>
    <row r="29" spans="2:19">
      <c r="B29" s="345"/>
      <c r="C29" s="345"/>
      <c r="D29" s="345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</row>
    <row r="30" spans="2:19">
      <c r="B30" s="345"/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</row>
    <row r="31" spans="2:19">
      <c r="B31" s="345"/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</row>
    <row r="32" spans="2:19"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</row>
    <row r="33" spans="2:19"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345"/>
      <c r="P33" s="345"/>
      <c r="Q33" s="345"/>
      <c r="R33" s="345"/>
      <c r="S33" s="345"/>
    </row>
    <row r="34" spans="2:19"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</row>
    <row r="35" spans="2:19">
      <c r="B35" s="345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</row>
    <row r="36" spans="2:19"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</row>
    <row r="37" spans="2:19"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</row>
    <row r="38" spans="2:19"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345"/>
      <c r="P38" s="345"/>
      <c r="Q38" s="345"/>
      <c r="R38" s="345"/>
      <c r="S38" s="345"/>
    </row>
    <row r="39" spans="2:19">
      <c r="B39" s="345"/>
      <c r="C39" s="345"/>
      <c r="D39" s="345"/>
      <c r="E39" s="345"/>
      <c r="F39" s="345"/>
      <c r="G39" s="345"/>
      <c r="H39" s="345"/>
      <c r="I39" s="345"/>
      <c r="J39" s="345"/>
      <c r="K39" s="345"/>
      <c r="L39" s="345"/>
      <c r="M39" s="345"/>
      <c r="N39" s="345"/>
      <c r="O39" s="345"/>
      <c r="P39" s="345"/>
      <c r="Q39" s="345"/>
      <c r="R39" s="345"/>
      <c r="S39" s="345"/>
    </row>
    <row r="40" spans="2:19">
      <c r="B40" s="345"/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</row>
    <row r="41" spans="2:19">
      <c r="B41" s="345"/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5"/>
      <c r="O41" s="345"/>
      <c r="P41" s="345"/>
      <c r="Q41" s="345"/>
      <c r="R41" s="345"/>
      <c r="S41" s="345"/>
    </row>
    <row r="42" spans="2:19">
      <c r="B42" s="345"/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/>
    </row>
    <row r="43" spans="2:19">
      <c r="B43" s="345"/>
      <c r="C43" s="345"/>
      <c r="D43" s="345"/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345"/>
    </row>
    <row r="44" spans="2:19">
      <c r="B44" s="345"/>
      <c r="C44" s="345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5"/>
      <c r="S44" s="345"/>
    </row>
    <row r="45" spans="2:19">
      <c r="B45" s="345"/>
      <c r="C45" s="345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</row>
    <row r="46" spans="2:19">
      <c r="B46" s="345"/>
      <c r="C46" s="345"/>
      <c r="D46" s="345"/>
      <c r="E46" s="345"/>
      <c r="F46" s="345"/>
      <c r="G46" s="345"/>
      <c r="H46" s="345"/>
      <c r="I46" s="345"/>
      <c r="J46" s="345"/>
      <c r="K46" s="345"/>
      <c r="L46" s="345"/>
      <c r="M46" s="345"/>
      <c r="N46" s="345"/>
      <c r="O46" s="345"/>
      <c r="P46" s="345"/>
      <c r="Q46" s="345"/>
      <c r="R46" s="345"/>
      <c r="S46" s="345"/>
    </row>
    <row r="47" spans="2:19">
      <c r="B47" s="345"/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5"/>
      <c r="S47" s="345"/>
    </row>
    <row r="48" spans="2:19">
      <c r="B48" s="345"/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345"/>
      <c r="P48" s="345"/>
      <c r="Q48" s="345"/>
      <c r="R48" s="345"/>
      <c r="S48" s="345"/>
    </row>
    <row r="49" spans="2:19">
      <c r="B49" s="345"/>
      <c r="C49" s="345"/>
      <c r="D49" s="345"/>
      <c r="E49" s="345"/>
      <c r="F49" s="345"/>
      <c r="G49" s="345"/>
      <c r="H49" s="345"/>
      <c r="I49" s="345"/>
      <c r="J49" s="345"/>
      <c r="K49" s="345"/>
      <c r="L49" s="345"/>
      <c r="M49" s="345"/>
      <c r="N49" s="345"/>
      <c r="O49" s="345"/>
      <c r="P49" s="345"/>
      <c r="Q49" s="345"/>
      <c r="R49" s="345"/>
      <c r="S49" s="345"/>
    </row>
  </sheetData>
  <mergeCells count="14">
    <mergeCell ref="Q8:Q9"/>
    <mergeCell ref="R8:R9"/>
    <mergeCell ref="S8:S9"/>
    <mergeCell ref="B18:S18"/>
    <mergeCell ref="B2:S2"/>
    <mergeCell ref="B7:S7"/>
    <mergeCell ref="B8:B9"/>
    <mergeCell ref="C8:C9"/>
    <mergeCell ref="D8:D9"/>
    <mergeCell ref="E8:I8"/>
    <mergeCell ref="N8:N9"/>
    <mergeCell ref="O8:O9"/>
    <mergeCell ref="P8:P9"/>
    <mergeCell ref="J8:M8"/>
  </mergeCells>
  <phoneticPr fontId="51" type="noConversion"/>
  <pageMargins left="0.94488188976377963" right="0.39370078740157483" top="0.51181102362204722" bottom="0.39370078740157483" header="0.43307086614173229" footer="0.43307086614173229"/>
  <pageSetup paperSize="9" scale="5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P47"/>
  <sheetViews>
    <sheetView topLeftCell="D1" zoomScaleSheetLayoutView="80" workbookViewId="0">
      <selection activeCell="L1" sqref="L1:M1"/>
    </sheetView>
  </sheetViews>
  <sheetFormatPr defaultRowHeight="12.75"/>
  <cols>
    <col min="1" max="1" width="1.85546875" customWidth="1"/>
    <col min="2" max="2" width="41.28515625" customWidth="1"/>
    <col min="3" max="3" width="8.85546875" hidden="1" customWidth="1"/>
    <col min="4" max="4" width="11.28515625" customWidth="1"/>
    <col min="5" max="5" width="14.7109375" customWidth="1"/>
    <col min="6" max="6" width="13.140625" customWidth="1"/>
    <col min="7" max="7" width="13.7109375" customWidth="1"/>
    <col min="8" max="8" width="12.5703125" customWidth="1"/>
    <col min="9" max="9" width="14.42578125" customWidth="1"/>
    <col min="10" max="10" width="15.140625" customWidth="1"/>
    <col min="11" max="12" width="15.85546875" customWidth="1"/>
    <col min="13" max="13" width="15.28515625" customWidth="1"/>
  </cols>
  <sheetData>
    <row r="1" spans="1:16" ht="45.75" customHeight="1">
      <c r="B1" s="463"/>
      <c r="C1" s="347"/>
      <c r="D1" s="347"/>
      <c r="E1" s="347"/>
      <c r="F1" s="448"/>
      <c r="G1" s="347"/>
      <c r="H1" s="391"/>
      <c r="I1" s="537"/>
      <c r="J1" s="391"/>
      <c r="L1" s="1566" t="s">
        <v>208</v>
      </c>
      <c r="M1" s="1566"/>
    </row>
    <row r="2" spans="1:16" ht="46.5" customHeight="1">
      <c r="B2" s="1553" t="s">
        <v>982</v>
      </c>
      <c r="C2" s="1553"/>
      <c r="D2" s="1553"/>
      <c r="E2" s="1553"/>
      <c r="F2" s="1553"/>
      <c r="G2" s="1553"/>
      <c r="H2" s="1553"/>
      <c r="I2" s="1553"/>
      <c r="J2" s="1553"/>
      <c r="K2" s="1553"/>
      <c r="L2" s="1553"/>
      <c r="M2" s="1553"/>
      <c r="N2" s="867"/>
      <c r="O2" s="867"/>
      <c r="P2" s="867"/>
    </row>
    <row r="3" spans="1:16" ht="15" customHeight="1">
      <c r="B3" s="388" t="s">
        <v>835</v>
      </c>
      <c r="C3" s="860"/>
      <c r="D3" s="860"/>
      <c r="E3" s="865"/>
      <c r="F3" s="845"/>
      <c r="G3" s="845"/>
      <c r="H3" s="845"/>
      <c r="I3" s="845"/>
      <c r="J3" s="845"/>
      <c r="K3" s="845"/>
      <c r="L3" s="845"/>
      <c r="M3" s="845"/>
      <c r="N3" s="845"/>
      <c r="O3" s="845"/>
      <c r="P3" s="845"/>
    </row>
    <row r="4" spans="1:16" ht="15" customHeight="1">
      <c r="B4" s="400" t="s">
        <v>836</v>
      </c>
      <c r="C4" s="400"/>
      <c r="D4" s="82">
        <v>2379</v>
      </c>
      <c r="E4" s="866" t="s">
        <v>807</v>
      </c>
      <c r="F4" s="845"/>
      <c r="G4" s="845"/>
      <c r="H4" s="845"/>
      <c r="I4" s="845"/>
      <c r="J4" s="845"/>
      <c r="K4" s="845"/>
      <c r="L4" s="845"/>
      <c r="M4" s="845"/>
      <c r="N4" s="845"/>
      <c r="O4" s="845"/>
      <c r="P4" s="845"/>
    </row>
    <row r="5" spans="1:16" ht="15" customHeight="1">
      <c r="B5" s="400" t="s">
        <v>837</v>
      </c>
      <c r="C5" s="400"/>
      <c r="D5" s="400">
        <v>2481</v>
      </c>
      <c r="E5" s="866" t="s">
        <v>807</v>
      </c>
      <c r="F5" s="845"/>
      <c r="G5" s="845"/>
      <c r="H5" s="845"/>
      <c r="I5" s="845"/>
      <c r="J5" s="845"/>
      <c r="K5" s="845"/>
      <c r="L5" s="845"/>
      <c r="M5" s="845"/>
      <c r="N5" s="845"/>
      <c r="O5" s="845"/>
      <c r="P5" s="845"/>
    </row>
    <row r="6" spans="1:16" ht="15" customHeight="1">
      <c r="B6" s="400" t="s">
        <v>838</v>
      </c>
      <c r="C6" s="400"/>
      <c r="D6" s="862">
        <f>((D4*2)+(D5*10))/12</f>
        <v>2464</v>
      </c>
      <c r="E6" s="866" t="s">
        <v>807</v>
      </c>
      <c r="F6" s="845"/>
      <c r="G6" s="845"/>
      <c r="H6" s="845"/>
      <c r="I6" s="845"/>
      <c r="J6" s="845"/>
      <c r="K6" s="845"/>
      <c r="L6" s="845"/>
      <c r="M6" s="845"/>
      <c r="N6" s="845"/>
      <c r="O6" s="845"/>
      <c r="P6" s="845"/>
    </row>
    <row r="7" spans="1:16" ht="13.5" thickBot="1">
      <c r="B7" s="1554" t="s">
        <v>807</v>
      </c>
      <c r="C7" s="1554"/>
      <c r="D7" s="1554"/>
      <c r="E7" s="1554"/>
      <c r="F7" s="1554"/>
      <c r="G7" s="1554"/>
      <c r="H7" s="1554"/>
      <c r="I7" s="1554"/>
      <c r="J7" s="1554"/>
      <c r="K7" s="1554"/>
      <c r="L7" s="1554"/>
      <c r="M7" s="1554"/>
    </row>
    <row r="8" spans="1:16" ht="13.5" customHeight="1" thickBot="1">
      <c r="B8" s="1555" t="s">
        <v>595</v>
      </c>
      <c r="C8" s="1557" t="s">
        <v>752</v>
      </c>
      <c r="D8" s="1557" t="s">
        <v>750</v>
      </c>
      <c r="E8" s="1559" t="s">
        <v>292</v>
      </c>
      <c r="F8" s="1560"/>
      <c r="G8" s="1560"/>
      <c r="H8" s="1560"/>
      <c r="I8" s="1561"/>
      <c r="J8" s="1551" t="s">
        <v>839</v>
      </c>
      <c r="K8" s="1551" t="s">
        <v>842</v>
      </c>
      <c r="L8" s="1551" t="s">
        <v>841</v>
      </c>
      <c r="M8" s="1551" t="s">
        <v>843</v>
      </c>
    </row>
    <row r="9" spans="1:16" ht="141.75" customHeight="1">
      <c r="B9" s="1556"/>
      <c r="C9" s="1558"/>
      <c r="D9" s="1558"/>
      <c r="E9" s="719" t="s">
        <v>840</v>
      </c>
      <c r="F9" s="719" t="s">
        <v>655</v>
      </c>
      <c r="G9" s="719" t="s">
        <v>654</v>
      </c>
      <c r="H9" s="719" t="s">
        <v>826</v>
      </c>
      <c r="I9" s="720" t="s">
        <v>751</v>
      </c>
      <c r="J9" s="1562"/>
      <c r="K9" s="1552"/>
      <c r="L9" s="1552"/>
      <c r="M9" s="1552"/>
    </row>
    <row r="10" spans="1:16" ht="35.1" customHeight="1">
      <c r="A10" s="1"/>
      <c r="B10" s="868" t="s">
        <v>860</v>
      </c>
      <c r="C10" s="851"/>
      <c r="D10" s="849">
        <v>1</v>
      </c>
      <c r="E10" s="850">
        <f>$D$6</f>
        <v>2464</v>
      </c>
      <c r="F10" s="848">
        <v>1.6</v>
      </c>
      <c r="G10" s="850">
        <v>1.66</v>
      </c>
      <c r="H10" s="850">
        <v>2</v>
      </c>
      <c r="I10" s="850">
        <f>E10*F10*G10*H10</f>
        <v>13088.768</v>
      </c>
      <c r="J10" s="850">
        <f>I10</f>
        <v>13088.768</v>
      </c>
      <c r="K10" s="850">
        <f>J10*12*D10</f>
        <v>157065.21600000001</v>
      </c>
      <c r="L10" s="850">
        <f>I10*D10*12</f>
        <v>157065.21600000001</v>
      </c>
      <c r="M10" s="850">
        <v>0</v>
      </c>
    </row>
    <row r="11" spans="1:16" ht="35.1" customHeight="1">
      <c r="A11" s="1"/>
      <c r="B11" s="847" t="s">
        <v>349</v>
      </c>
      <c r="C11" s="851"/>
      <c r="D11" s="849">
        <v>2</v>
      </c>
      <c r="E11" s="850">
        <f>$D$6</f>
        <v>2464</v>
      </c>
      <c r="F11" s="848">
        <v>1.6</v>
      </c>
      <c r="G11" s="850">
        <v>1.66</v>
      </c>
      <c r="H11" s="850">
        <v>2</v>
      </c>
      <c r="I11" s="850">
        <f>E11*F11*G11*H11</f>
        <v>13088.768</v>
      </c>
      <c r="J11" s="850">
        <f>I11</f>
        <v>13088.768</v>
      </c>
      <c r="K11" s="850">
        <f>J11*12*D11</f>
        <v>314130.43200000003</v>
      </c>
      <c r="L11" s="850">
        <f>I11*D11*12</f>
        <v>314130.43200000003</v>
      </c>
      <c r="M11" s="850">
        <v>0</v>
      </c>
    </row>
    <row r="12" spans="1:16" ht="35.1" customHeight="1">
      <c r="A12" s="1"/>
      <c r="B12" s="847" t="s">
        <v>984</v>
      </c>
      <c r="C12" s="851"/>
      <c r="D12" s="849">
        <v>1</v>
      </c>
      <c r="E12" s="850">
        <f>$D$6</f>
        <v>2464</v>
      </c>
      <c r="F12" s="848">
        <v>1.6</v>
      </c>
      <c r="G12" s="850">
        <v>1.66</v>
      </c>
      <c r="H12" s="850">
        <v>1.3</v>
      </c>
      <c r="I12" s="850">
        <f>E12*F12*G12*H12</f>
        <v>8507.6992000000009</v>
      </c>
      <c r="J12" s="850">
        <f>I12</f>
        <v>8507.6992000000009</v>
      </c>
      <c r="K12" s="850">
        <f>J12*12*D12</f>
        <v>102092.3904</v>
      </c>
      <c r="L12" s="850">
        <f>I12*D12*12</f>
        <v>102092.3904</v>
      </c>
      <c r="M12" s="850">
        <v>0</v>
      </c>
    </row>
    <row r="13" spans="1:16" ht="35.1" customHeight="1">
      <c r="A13" s="1"/>
      <c r="B13" s="852" t="s">
        <v>590</v>
      </c>
      <c r="C13" s="853" t="e">
        <f>#REF!+#REF!+#REF!</f>
        <v>#REF!</v>
      </c>
      <c r="D13" s="854">
        <f>SUM(D10:D12)</f>
        <v>4</v>
      </c>
      <c r="E13" s="853"/>
      <c r="F13" s="853"/>
      <c r="G13" s="853"/>
      <c r="H13" s="853"/>
      <c r="I13" s="853">
        <f>SUM(I10:I12)</f>
        <v>34685.235200000003</v>
      </c>
      <c r="J13" s="853">
        <f>SUM(J10:J12)</f>
        <v>34685.235200000003</v>
      </c>
      <c r="K13" s="853">
        <f>SUM(K10:K12)</f>
        <v>573288.03840000008</v>
      </c>
      <c r="L13" s="853">
        <f>SUM(L10:L12)</f>
        <v>573288.03840000008</v>
      </c>
      <c r="M13" s="853">
        <f>SUM(M10:M12)</f>
        <v>0</v>
      </c>
    </row>
    <row r="14" spans="1:16">
      <c r="B14" s="462"/>
      <c r="C14" s="346"/>
      <c r="D14" s="345"/>
      <c r="E14" s="345"/>
      <c r="F14" s="345"/>
      <c r="G14" s="345"/>
      <c r="H14" s="345"/>
      <c r="I14" s="345"/>
      <c r="J14" s="345"/>
      <c r="K14" s="345"/>
      <c r="L14" s="345"/>
      <c r="M14" s="345"/>
    </row>
    <row r="15" spans="1:16">
      <c r="B15" s="462"/>
      <c r="C15" s="346"/>
      <c r="D15" s="345"/>
      <c r="E15" s="345"/>
      <c r="F15" s="345"/>
      <c r="G15" s="345"/>
      <c r="H15" s="345"/>
      <c r="I15" s="345"/>
      <c r="J15" s="345"/>
      <c r="K15" s="349"/>
      <c r="L15" s="349"/>
      <c r="M15" s="345"/>
    </row>
    <row r="16" spans="1:16" s="84" customFormat="1" ht="32.25" customHeight="1">
      <c r="B16" s="1535" t="s">
        <v>207</v>
      </c>
      <c r="C16" s="1456"/>
      <c r="D16" s="1456"/>
      <c r="E16" s="1456"/>
      <c r="F16" s="1456"/>
      <c r="G16" s="1456"/>
      <c r="H16" s="1456"/>
      <c r="I16" s="1456"/>
      <c r="J16" s="1456"/>
      <c r="K16" s="1456"/>
      <c r="L16" s="1456"/>
      <c r="M16" s="1456"/>
    </row>
    <row r="17" spans="2:13">
      <c r="B17" s="346"/>
      <c r="C17" s="346"/>
      <c r="D17" s="345"/>
      <c r="E17" s="345"/>
      <c r="F17" s="345"/>
      <c r="G17" s="345"/>
      <c r="H17" s="345"/>
      <c r="I17" s="345"/>
      <c r="J17" s="345"/>
      <c r="K17" s="345"/>
      <c r="L17" s="345"/>
      <c r="M17" s="345"/>
    </row>
    <row r="18" spans="2:13">
      <c r="B18" s="346"/>
      <c r="C18" s="346"/>
      <c r="D18" s="345"/>
      <c r="E18" s="345"/>
      <c r="F18" s="345"/>
      <c r="G18" s="345"/>
      <c r="H18" s="345"/>
      <c r="I18" s="345"/>
      <c r="J18" s="345"/>
      <c r="K18" s="345"/>
      <c r="L18" s="345"/>
      <c r="M18" s="345"/>
    </row>
    <row r="19" spans="2:13">
      <c r="B19" s="346"/>
      <c r="C19" s="346"/>
      <c r="D19" s="345"/>
      <c r="E19" s="345"/>
      <c r="F19" s="345"/>
      <c r="G19" s="345"/>
      <c r="H19" s="345"/>
      <c r="I19" s="345"/>
      <c r="J19" s="345"/>
      <c r="K19" s="345"/>
      <c r="L19" s="345"/>
      <c r="M19" s="345"/>
    </row>
    <row r="20" spans="2:13">
      <c r="B20" s="346"/>
      <c r="C20" s="346"/>
      <c r="D20" s="345"/>
      <c r="E20" s="345"/>
      <c r="F20" s="345"/>
      <c r="G20" s="345"/>
      <c r="H20" s="345"/>
      <c r="I20" s="345"/>
      <c r="J20" s="345"/>
      <c r="K20" s="345"/>
      <c r="L20" s="345"/>
      <c r="M20" s="345"/>
    </row>
    <row r="21" spans="2:13">
      <c r="B21" s="346"/>
      <c r="C21" s="346"/>
      <c r="D21" s="345"/>
      <c r="E21" s="345"/>
      <c r="F21" s="345"/>
      <c r="G21" s="345"/>
      <c r="H21" s="345"/>
      <c r="I21" s="345"/>
      <c r="J21" s="345"/>
      <c r="K21" s="345"/>
      <c r="L21" s="345"/>
      <c r="M21" s="345"/>
    </row>
    <row r="22" spans="2:13">
      <c r="B22" s="346"/>
      <c r="C22" s="346"/>
      <c r="D22" s="345"/>
      <c r="E22" s="345"/>
      <c r="F22" s="345"/>
      <c r="G22" s="345"/>
      <c r="H22" s="345"/>
      <c r="I22" s="345"/>
      <c r="J22" s="345"/>
      <c r="K22" s="345"/>
      <c r="L22" s="345"/>
      <c r="M22" s="345"/>
    </row>
    <row r="23" spans="2:13"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</row>
    <row r="24" spans="2:13"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</row>
    <row r="25" spans="2:13"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</row>
    <row r="26" spans="2:13"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</row>
    <row r="27" spans="2:13"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</row>
    <row r="28" spans="2:13">
      <c r="B28" s="345"/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</row>
    <row r="29" spans="2:13">
      <c r="B29" s="345"/>
      <c r="C29" s="345"/>
      <c r="D29" s="345"/>
      <c r="E29" s="345"/>
      <c r="F29" s="345"/>
      <c r="G29" s="345"/>
      <c r="H29" s="345"/>
      <c r="I29" s="345"/>
      <c r="J29" s="345"/>
      <c r="K29" s="345"/>
      <c r="L29" s="345"/>
      <c r="M29" s="345"/>
    </row>
    <row r="30" spans="2:13">
      <c r="B30" s="345"/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5"/>
    </row>
    <row r="31" spans="2:13">
      <c r="B31" s="345"/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</row>
    <row r="32" spans="2:13"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</row>
    <row r="33" spans="2:13"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</row>
    <row r="34" spans="2:13"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</row>
    <row r="35" spans="2:13">
      <c r="B35" s="345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</row>
    <row r="36" spans="2:13"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</row>
    <row r="37" spans="2:13"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</row>
    <row r="38" spans="2:13"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345"/>
    </row>
    <row r="39" spans="2:13">
      <c r="B39" s="345"/>
      <c r="C39" s="345"/>
      <c r="D39" s="345"/>
      <c r="E39" s="345"/>
      <c r="F39" s="345"/>
      <c r="G39" s="345"/>
      <c r="H39" s="345"/>
      <c r="I39" s="345"/>
      <c r="J39" s="345"/>
      <c r="K39" s="345"/>
      <c r="L39" s="345"/>
      <c r="M39" s="345"/>
    </row>
    <row r="40" spans="2:13">
      <c r="B40" s="345"/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345"/>
    </row>
    <row r="41" spans="2:13">
      <c r="B41" s="345"/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</row>
    <row r="42" spans="2:13">
      <c r="B42" s="345"/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</row>
    <row r="43" spans="2:13">
      <c r="B43" s="345"/>
      <c r="C43" s="345"/>
      <c r="D43" s="345"/>
      <c r="E43" s="345"/>
      <c r="F43" s="345"/>
      <c r="G43" s="345"/>
      <c r="H43" s="345"/>
      <c r="I43" s="345"/>
      <c r="J43" s="345"/>
      <c r="K43" s="345"/>
      <c r="L43" s="345"/>
      <c r="M43" s="345"/>
    </row>
    <row r="44" spans="2:13">
      <c r="B44" s="345"/>
      <c r="C44" s="345"/>
      <c r="D44" s="345"/>
      <c r="E44" s="345"/>
      <c r="F44" s="345"/>
      <c r="G44" s="345"/>
      <c r="H44" s="345"/>
      <c r="I44" s="345"/>
      <c r="J44" s="345"/>
      <c r="K44" s="345"/>
      <c r="L44" s="345"/>
      <c r="M44" s="345"/>
    </row>
    <row r="45" spans="2:13">
      <c r="B45" s="345"/>
      <c r="C45" s="345"/>
      <c r="D45" s="345"/>
      <c r="E45" s="345"/>
      <c r="F45" s="345"/>
      <c r="G45" s="345"/>
      <c r="H45" s="345"/>
      <c r="I45" s="345"/>
      <c r="J45" s="345"/>
      <c r="K45" s="345"/>
      <c r="L45" s="345"/>
      <c r="M45" s="345"/>
    </row>
    <row r="46" spans="2:13">
      <c r="B46" s="345"/>
      <c r="C46" s="345"/>
      <c r="D46" s="345"/>
      <c r="E46" s="345"/>
      <c r="F46" s="345"/>
      <c r="G46" s="345"/>
      <c r="H46" s="345"/>
      <c r="I46" s="345"/>
      <c r="J46" s="345"/>
      <c r="K46" s="345"/>
      <c r="L46" s="345"/>
      <c r="M46" s="345"/>
    </row>
    <row r="47" spans="2:13">
      <c r="B47" s="345"/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5"/>
    </row>
  </sheetData>
  <mergeCells count="12">
    <mergeCell ref="B16:M16"/>
    <mergeCell ref="B7:M7"/>
    <mergeCell ref="B8:B9"/>
    <mergeCell ref="C8:C9"/>
    <mergeCell ref="D8:D9"/>
    <mergeCell ref="E8:I8"/>
    <mergeCell ref="J8:J9"/>
    <mergeCell ref="K8:K9"/>
    <mergeCell ref="B2:M2"/>
    <mergeCell ref="L8:L9"/>
    <mergeCell ref="M8:M9"/>
    <mergeCell ref="L1:M1"/>
  </mergeCells>
  <phoneticPr fontId="51" type="noConversion"/>
  <pageMargins left="0.96" right="0.39370078740157483" top="0.51181102362204722" bottom="0.39370078740157483" header="0.43307086614173229" footer="0.42"/>
  <pageSetup paperSize="9" scale="51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S53"/>
  <sheetViews>
    <sheetView topLeftCell="B11" zoomScaleSheetLayoutView="80" workbookViewId="0">
      <selection activeCell="B22" sqref="B22:S22"/>
    </sheetView>
  </sheetViews>
  <sheetFormatPr defaultRowHeight="12.75"/>
  <cols>
    <col min="1" max="1" width="1.85546875" customWidth="1"/>
    <col min="2" max="2" width="41.28515625" customWidth="1"/>
    <col min="3" max="3" width="11.28515625" customWidth="1"/>
    <col min="4" max="4" width="14.7109375" customWidth="1"/>
    <col min="5" max="5" width="13.140625" customWidth="1"/>
    <col min="6" max="6" width="13.7109375" customWidth="1"/>
    <col min="7" max="7" width="12.5703125" customWidth="1"/>
    <col min="8" max="8" width="14.42578125" customWidth="1"/>
    <col min="9" max="9" width="9.85546875" customWidth="1"/>
    <col min="10" max="10" width="11.28515625" customWidth="1"/>
    <col min="11" max="11" width="10.28515625" customWidth="1"/>
    <col min="12" max="12" width="12" customWidth="1"/>
    <col min="13" max="13" width="12.140625" customWidth="1"/>
    <col min="14" max="14" width="10.140625" hidden="1" customWidth="1"/>
    <col min="15" max="15" width="1.85546875" hidden="1" customWidth="1"/>
    <col min="16" max="16" width="13.5703125" customWidth="1"/>
    <col min="17" max="17" width="16.28515625" customWidth="1"/>
    <col min="18" max="18" width="15.85546875" customWidth="1"/>
    <col min="19" max="19" width="17" customWidth="1"/>
  </cols>
  <sheetData>
    <row r="1" spans="1:19" ht="33" customHeight="1">
      <c r="B1" s="463"/>
      <c r="C1" s="347"/>
      <c r="D1" s="347"/>
      <c r="E1" s="448"/>
      <c r="F1" s="347"/>
      <c r="G1" s="391"/>
      <c r="H1" s="537"/>
      <c r="I1" s="537"/>
      <c r="J1" s="537"/>
      <c r="K1" s="537"/>
      <c r="L1" s="537"/>
      <c r="M1" s="537"/>
      <c r="N1" s="391"/>
      <c r="O1" s="391"/>
      <c r="P1" s="391"/>
      <c r="R1" s="1566" t="s">
        <v>210</v>
      </c>
      <c r="S1" s="1566"/>
    </row>
    <row r="2" spans="1:19" ht="42.75" customHeight="1">
      <c r="B2" s="1553" t="s">
        <v>330</v>
      </c>
      <c r="C2" s="1553"/>
      <c r="D2" s="1553"/>
      <c r="E2" s="1553"/>
      <c r="F2" s="1553"/>
      <c r="G2" s="1553"/>
      <c r="H2" s="1553"/>
      <c r="I2" s="1553"/>
      <c r="J2" s="1553"/>
      <c r="K2" s="1553"/>
      <c r="L2" s="1553"/>
      <c r="M2" s="1553"/>
      <c r="N2" s="1553"/>
      <c r="O2" s="1553"/>
      <c r="P2" s="1553"/>
      <c r="Q2" s="1553"/>
      <c r="R2" s="1553"/>
      <c r="S2" s="1553"/>
    </row>
    <row r="3" spans="1:19" ht="15" customHeight="1">
      <c r="B3" s="388" t="s">
        <v>835</v>
      </c>
      <c r="C3" s="860"/>
      <c r="D3" s="865"/>
      <c r="E3" s="845"/>
      <c r="F3" s="845"/>
      <c r="G3" s="845"/>
      <c r="H3" s="845"/>
      <c r="I3" s="845"/>
      <c r="J3" s="845"/>
      <c r="K3" s="845"/>
      <c r="L3" s="845"/>
      <c r="M3" s="845"/>
      <c r="N3" s="845"/>
      <c r="O3" s="845"/>
      <c r="P3" s="845"/>
      <c r="Q3" s="845"/>
      <c r="R3" s="845"/>
      <c r="S3" s="845"/>
    </row>
    <row r="4" spans="1:19" ht="15" customHeight="1">
      <c r="B4" s="400" t="s">
        <v>836</v>
      </c>
      <c r="C4" s="82">
        <v>2379</v>
      </c>
      <c r="D4" s="866" t="s">
        <v>807</v>
      </c>
      <c r="E4" s="845"/>
      <c r="F4" s="845"/>
      <c r="G4" s="845"/>
      <c r="H4" s="845"/>
      <c r="I4" s="845"/>
      <c r="J4" s="845"/>
      <c r="K4" s="845"/>
      <c r="L4" s="845"/>
      <c r="M4" s="845"/>
      <c r="N4" s="845"/>
      <c r="O4" s="845"/>
      <c r="P4" s="845"/>
      <c r="Q4" s="845"/>
      <c r="R4" s="845"/>
      <c r="S4" s="845"/>
    </row>
    <row r="5" spans="1:19" ht="15" customHeight="1">
      <c r="B5" s="400" t="s">
        <v>837</v>
      </c>
      <c r="C5" s="400">
        <v>2481</v>
      </c>
      <c r="D5" s="866" t="s">
        <v>807</v>
      </c>
      <c r="E5" s="845"/>
      <c r="F5" s="845"/>
      <c r="G5" s="845"/>
      <c r="H5" s="845"/>
      <c r="I5" s="845"/>
      <c r="J5" s="845"/>
      <c r="K5" s="845"/>
      <c r="L5" s="845"/>
      <c r="M5" s="845"/>
      <c r="N5" s="845"/>
      <c r="O5" s="845"/>
      <c r="P5" s="845"/>
      <c r="Q5" s="845"/>
      <c r="R5" s="845"/>
      <c r="S5" s="845"/>
    </row>
    <row r="6" spans="1:19" ht="15" customHeight="1">
      <c r="B6" s="400" t="s">
        <v>838</v>
      </c>
      <c r="C6" s="862">
        <f>((C4*2)+(C5*10))/12</f>
        <v>2464</v>
      </c>
      <c r="D6" s="866" t="s">
        <v>807</v>
      </c>
      <c r="E6" s="845"/>
      <c r="F6" s="845"/>
      <c r="G6" s="845"/>
      <c r="H6" s="845"/>
      <c r="I6" s="845"/>
      <c r="J6" s="845"/>
      <c r="K6" s="845"/>
      <c r="L6" s="845"/>
      <c r="M6" s="845"/>
      <c r="N6" s="845"/>
      <c r="O6" s="845"/>
      <c r="P6" s="845"/>
      <c r="Q6" s="845"/>
      <c r="R6" s="845"/>
      <c r="S6" s="845"/>
    </row>
    <row r="7" spans="1:19" ht="13.5" thickBot="1">
      <c r="B7" s="1554" t="s">
        <v>807</v>
      </c>
      <c r="C7" s="1554"/>
      <c r="D7" s="1554"/>
      <c r="E7" s="1554"/>
      <c r="F7" s="1554"/>
      <c r="G7" s="1554"/>
      <c r="H7" s="1554"/>
      <c r="I7" s="1554"/>
      <c r="J7" s="1554"/>
      <c r="K7" s="1554"/>
      <c r="L7" s="1554"/>
      <c r="M7" s="1554"/>
      <c r="N7" s="1554"/>
      <c r="O7" s="1554"/>
      <c r="P7" s="1554"/>
      <c r="Q7" s="1554"/>
      <c r="R7" s="1554"/>
      <c r="S7" s="1554"/>
    </row>
    <row r="8" spans="1:19" ht="13.5" customHeight="1" thickBot="1">
      <c r="B8" s="1555" t="s">
        <v>595</v>
      </c>
      <c r="C8" s="1557" t="s">
        <v>750</v>
      </c>
      <c r="D8" s="1559" t="s">
        <v>292</v>
      </c>
      <c r="E8" s="1560"/>
      <c r="F8" s="1560"/>
      <c r="G8" s="1560"/>
      <c r="H8" s="1561"/>
      <c r="I8" s="1564" t="s">
        <v>589</v>
      </c>
      <c r="J8" s="1564"/>
      <c r="K8" s="1564"/>
      <c r="L8" s="1564"/>
      <c r="M8" s="1564"/>
      <c r="N8" s="1551" t="s">
        <v>591</v>
      </c>
      <c r="O8" s="1551" t="s">
        <v>592</v>
      </c>
      <c r="P8" s="1551" t="s">
        <v>839</v>
      </c>
      <c r="Q8" s="1551" t="s">
        <v>842</v>
      </c>
      <c r="R8" s="1551" t="s">
        <v>841</v>
      </c>
      <c r="S8" s="1551" t="s">
        <v>843</v>
      </c>
    </row>
    <row r="9" spans="1:19" ht="149.25" customHeight="1">
      <c r="B9" s="1556"/>
      <c r="C9" s="1558"/>
      <c r="D9" s="719" t="s">
        <v>209</v>
      </c>
      <c r="E9" s="719" t="s">
        <v>655</v>
      </c>
      <c r="F9" s="719" t="s">
        <v>654</v>
      </c>
      <c r="G9" s="719" t="s">
        <v>826</v>
      </c>
      <c r="H9" s="720" t="s">
        <v>751</v>
      </c>
      <c r="I9" s="720" t="s">
        <v>822</v>
      </c>
      <c r="J9" s="720" t="s">
        <v>849</v>
      </c>
      <c r="K9" s="720" t="s">
        <v>848</v>
      </c>
      <c r="L9" s="720" t="s">
        <v>850</v>
      </c>
      <c r="M9" s="720" t="s">
        <v>917</v>
      </c>
      <c r="N9" s="1552"/>
      <c r="O9" s="1552"/>
      <c r="P9" s="1562"/>
      <c r="Q9" s="1552"/>
      <c r="R9" s="1552"/>
      <c r="S9" s="1552"/>
    </row>
    <row r="10" spans="1:19" ht="35.1" customHeight="1">
      <c r="B10" s="847" t="s">
        <v>985</v>
      </c>
      <c r="C10" s="849">
        <v>1</v>
      </c>
      <c r="D10" s="850">
        <f t="shared" ref="D10:D18" si="0">$C$6</f>
        <v>2464</v>
      </c>
      <c r="E10" s="848"/>
      <c r="F10" s="850"/>
      <c r="G10" s="850"/>
      <c r="H10" s="850">
        <v>19293</v>
      </c>
      <c r="I10" s="850"/>
      <c r="J10" s="850"/>
      <c r="K10" s="850"/>
      <c r="L10" s="850"/>
      <c r="M10" s="850"/>
      <c r="N10" s="850"/>
      <c r="O10" s="850"/>
      <c r="P10" s="850">
        <f>H10</f>
        <v>19293</v>
      </c>
      <c r="Q10" s="850">
        <f t="shared" ref="Q10:Q15" si="1">P10*12*C10</f>
        <v>231516</v>
      </c>
      <c r="R10" s="850">
        <f t="shared" ref="R10:R15" si="2">H10*C10*12</f>
        <v>231516</v>
      </c>
      <c r="S10" s="850">
        <f t="shared" ref="S10:S15" si="3">(I10+J10+K10+L10+M10)*12*C10</f>
        <v>0</v>
      </c>
    </row>
    <row r="11" spans="1:19" ht="35.1" customHeight="1">
      <c r="A11" s="1"/>
      <c r="B11" s="847" t="s">
        <v>986</v>
      </c>
      <c r="C11" s="849">
        <v>1</v>
      </c>
      <c r="D11" s="850">
        <f t="shared" si="0"/>
        <v>2464</v>
      </c>
      <c r="E11" s="848">
        <v>1.6</v>
      </c>
      <c r="F11" s="850">
        <v>1.66</v>
      </c>
      <c r="G11" s="850">
        <v>2.2000000000000002</v>
      </c>
      <c r="H11" s="850">
        <f>D11*E11*F11*G11</f>
        <v>14397.644800000002</v>
      </c>
      <c r="I11" s="850"/>
      <c r="J11" s="850"/>
      <c r="K11" s="850"/>
      <c r="L11" s="850"/>
      <c r="M11" s="850"/>
      <c r="N11" s="850"/>
      <c r="O11" s="850"/>
      <c r="P11" s="850">
        <f t="shared" ref="P11:P18" si="4">H11+I11+J11+K11+L11+M11</f>
        <v>14397.644800000002</v>
      </c>
      <c r="Q11" s="850">
        <f t="shared" si="1"/>
        <v>172771.73760000002</v>
      </c>
      <c r="R11" s="850">
        <f t="shared" si="2"/>
        <v>172771.73760000002</v>
      </c>
      <c r="S11" s="850">
        <f t="shared" si="3"/>
        <v>0</v>
      </c>
    </row>
    <row r="12" spans="1:19" ht="35.1" customHeight="1">
      <c r="A12" s="1"/>
      <c r="B12" s="847" t="s">
        <v>987</v>
      </c>
      <c r="C12" s="849">
        <v>1</v>
      </c>
      <c r="D12" s="850">
        <f t="shared" si="0"/>
        <v>2464</v>
      </c>
      <c r="E12" s="848">
        <v>1.6</v>
      </c>
      <c r="F12" s="850">
        <v>1.66</v>
      </c>
      <c r="G12" s="850">
        <v>2.1</v>
      </c>
      <c r="H12" s="850">
        <f>D12*E12*F12*G12</f>
        <v>13743.206400000001</v>
      </c>
      <c r="I12" s="850"/>
      <c r="J12" s="850"/>
      <c r="K12" s="850"/>
      <c r="L12" s="850"/>
      <c r="M12" s="850">
        <f>H12*0.2</f>
        <v>2748.6412800000003</v>
      </c>
      <c r="N12" s="850"/>
      <c r="O12" s="850"/>
      <c r="P12" s="850">
        <f t="shared" si="4"/>
        <v>16491.847680000003</v>
      </c>
      <c r="Q12" s="850">
        <f t="shared" si="1"/>
        <v>197902.17216000002</v>
      </c>
      <c r="R12" s="850">
        <f t="shared" si="2"/>
        <v>164918.4768</v>
      </c>
      <c r="S12" s="850">
        <f t="shared" si="3"/>
        <v>32983.695360000005</v>
      </c>
    </row>
    <row r="13" spans="1:19" ht="35.1" customHeight="1">
      <c r="A13" s="1"/>
      <c r="B13" s="847" t="s">
        <v>988</v>
      </c>
      <c r="C13" s="849">
        <v>1</v>
      </c>
      <c r="D13" s="850">
        <f t="shared" si="0"/>
        <v>2464</v>
      </c>
      <c r="E13" s="848">
        <v>1.6</v>
      </c>
      <c r="F13" s="850">
        <v>1.66</v>
      </c>
      <c r="G13" s="850">
        <v>2</v>
      </c>
      <c r="H13" s="850">
        <f>D13*E13*F13*G13</f>
        <v>13088.768</v>
      </c>
      <c r="I13" s="850"/>
      <c r="J13" s="850"/>
      <c r="K13" s="850"/>
      <c r="L13" s="850"/>
      <c r="M13" s="850"/>
      <c r="N13" s="850"/>
      <c r="O13" s="850"/>
      <c r="P13" s="850">
        <f t="shared" si="4"/>
        <v>13088.768</v>
      </c>
      <c r="Q13" s="850">
        <f t="shared" si="1"/>
        <v>157065.21600000001</v>
      </c>
      <c r="R13" s="850">
        <f t="shared" si="2"/>
        <v>157065.21600000001</v>
      </c>
      <c r="S13" s="850">
        <f t="shared" si="3"/>
        <v>0</v>
      </c>
    </row>
    <row r="14" spans="1:19" ht="35.1" customHeight="1">
      <c r="A14" s="1"/>
      <c r="B14" s="847" t="s">
        <v>845</v>
      </c>
      <c r="C14" s="849">
        <v>1</v>
      </c>
      <c r="D14" s="850">
        <f t="shared" si="0"/>
        <v>2464</v>
      </c>
      <c r="E14" s="848">
        <v>1.6</v>
      </c>
      <c r="F14" s="850">
        <v>1.55</v>
      </c>
      <c r="G14" s="869"/>
      <c r="H14" s="850">
        <f>D14*E14*F14</f>
        <v>6110.72</v>
      </c>
      <c r="I14" s="850"/>
      <c r="J14" s="850">
        <f>H14*0.3</f>
        <v>1833.2160000000001</v>
      </c>
      <c r="K14" s="869"/>
      <c r="L14" s="850"/>
      <c r="M14" s="850"/>
      <c r="N14" s="850"/>
      <c r="O14" s="850"/>
      <c r="P14" s="850">
        <f t="shared" si="4"/>
        <v>7943.9360000000006</v>
      </c>
      <c r="Q14" s="850">
        <f t="shared" si="1"/>
        <v>95327.232000000004</v>
      </c>
      <c r="R14" s="850">
        <f t="shared" si="2"/>
        <v>73328.639999999999</v>
      </c>
      <c r="S14" s="850">
        <f t="shared" si="3"/>
        <v>21998.592000000001</v>
      </c>
    </row>
    <row r="15" spans="1:19" ht="35.1" customHeight="1">
      <c r="A15" s="1"/>
      <c r="B15" s="847" t="s">
        <v>846</v>
      </c>
      <c r="C15" s="849">
        <v>1</v>
      </c>
      <c r="D15" s="850">
        <f t="shared" si="0"/>
        <v>2464</v>
      </c>
      <c r="E15" s="848">
        <v>1.6</v>
      </c>
      <c r="F15" s="850">
        <v>1.66</v>
      </c>
      <c r="G15" s="850">
        <v>1.25</v>
      </c>
      <c r="H15" s="850">
        <f>D15*E15*F15*G15</f>
        <v>8180.48</v>
      </c>
      <c r="I15" s="850">
        <f>H15*0.04</f>
        <v>327.2192</v>
      </c>
      <c r="J15" s="850"/>
      <c r="K15" s="850"/>
      <c r="L15" s="850"/>
      <c r="M15" s="850"/>
      <c r="N15" s="850"/>
      <c r="O15" s="850"/>
      <c r="P15" s="850">
        <f t="shared" si="4"/>
        <v>8507.6991999999991</v>
      </c>
      <c r="Q15" s="850">
        <f t="shared" si="1"/>
        <v>102092.39039999999</v>
      </c>
      <c r="R15" s="850">
        <f t="shared" si="2"/>
        <v>98165.759999999995</v>
      </c>
      <c r="S15" s="850">
        <f t="shared" si="3"/>
        <v>3926.6304</v>
      </c>
    </row>
    <row r="16" spans="1:19" ht="35.1" customHeight="1">
      <c r="A16" s="1"/>
      <c r="B16" s="847" t="s">
        <v>847</v>
      </c>
      <c r="C16" s="849">
        <v>2</v>
      </c>
      <c r="D16" s="850">
        <f t="shared" si="0"/>
        <v>2464</v>
      </c>
      <c r="E16" s="848"/>
      <c r="F16" s="850"/>
      <c r="G16" s="850"/>
      <c r="H16" s="850">
        <v>6000</v>
      </c>
      <c r="I16" s="850"/>
      <c r="J16" s="850"/>
      <c r="K16" s="850"/>
      <c r="L16" s="850"/>
      <c r="M16" s="850"/>
      <c r="N16" s="850"/>
      <c r="O16" s="850"/>
      <c r="P16" s="850">
        <f t="shared" si="4"/>
        <v>6000</v>
      </c>
      <c r="Q16" s="850">
        <f>P16*6*C16</f>
        <v>72000</v>
      </c>
      <c r="R16" s="850">
        <f>H16*C16*6</f>
        <v>72000</v>
      </c>
      <c r="S16" s="850">
        <f>(I16+J16+K16+L16+M16)*6*C16</f>
        <v>0</v>
      </c>
    </row>
    <row r="17" spans="1:19" ht="35.1" customHeight="1">
      <c r="A17" s="1"/>
      <c r="B17" s="847" t="s">
        <v>962</v>
      </c>
      <c r="C17" s="849">
        <v>1</v>
      </c>
      <c r="D17" s="850">
        <f t="shared" si="0"/>
        <v>2464</v>
      </c>
      <c r="E17" s="848"/>
      <c r="F17" s="850"/>
      <c r="G17" s="850"/>
      <c r="H17" s="850">
        <v>6000</v>
      </c>
      <c r="I17" s="850"/>
      <c r="J17" s="850"/>
      <c r="K17" s="850"/>
      <c r="L17" s="850"/>
      <c r="M17" s="850"/>
      <c r="N17" s="850"/>
      <c r="O17" s="850"/>
      <c r="P17" s="850">
        <f t="shared" si="4"/>
        <v>6000</v>
      </c>
      <c r="Q17" s="850">
        <f>P17*6*C17</f>
        <v>36000</v>
      </c>
      <c r="R17" s="850">
        <f>H17*C17*6</f>
        <v>36000</v>
      </c>
      <c r="S17" s="850">
        <f>(I17+J17+K17+L17+M17)*6*C17</f>
        <v>0</v>
      </c>
    </row>
    <row r="18" spans="1:19" ht="35.1" customHeight="1">
      <c r="A18" s="1"/>
      <c r="B18" s="847" t="s">
        <v>851</v>
      </c>
      <c r="C18" s="849">
        <v>1</v>
      </c>
      <c r="D18" s="850">
        <f t="shared" si="0"/>
        <v>2464</v>
      </c>
      <c r="E18" s="848"/>
      <c r="F18" s="850"/>
      <c r="G18" s="850"/>
      <c r="H18" s="850">
        <v>6000</v>
      </c>
      <c r="I18" s="850"/>
      <c r="J18" s="850"/>
      <c r="K18" s="850"/>
      <c r="L18" s="850"/>
      <c r="M18" s="850"/>
      <c r="N18" s="850"/>
      <c r="O18" s="850"/>
      <c r="P18" s="850">
        <f t="shared" si="4"/>
        <v>6000</v>
      </c>
      <c r="Q18" s="850">
        <f>P18*6*C18</f>
        <v>36000</v>
      </c>
      <c r="R18" s="850">
        <f>H18*C18*6</f>
        <v>36000</v>
      </c>
      <c r="S18" s="850">
        <f>(I18+J18+K18+L18+M18)*6*C18</f>
        <v>0</v>
      </c>
    </row>
    <row r="19" spans="1:19" ht="35.1" customHeight="1">
      <c r="A19" s="1"/>
      <c r="B19" s="852" t="s">
        <v>590</v>
      </c>
      <c r="C19" s="854">
        <f>SUM(C10:C18)</f>
        <v>10</v>
      </c>
      <c r="D19" s="853"/>
      <c r="E19" s="853"/>
      <c r="F19" s="853"/>
      <c r="G19" s="853"/>
      <c r="H19" s="853">
        <f t="shared" ref="H19:S19" si="5">SUM(H10:H18)</f>
        <v>92813.819199999998</v>
      </c>
      <c r="I19" s="853">
        <f t="shared" si="5"/>
        <v>327.2192</v>
      </c>
      <c r="J19" s="853">
        <f t="shared" si="5"/>
        <v>1833.2160000000001</v>
      </c>
      <c r="K19" s="853">
        <f t="shared" si="5"/>
        <v>0</v>
      </c>
      <c r="L19" s="853">
        <f t="shared" si="5"/>
        <v>0</v>
      </c>
      <c r="M19" s="853">
        <f>SUM(M10:M18)</f>
        <v>2748.6412800000003</v>
      </c>
      <c r="N19" s="853">
        <f t="shared" si="5"/>
        <v>0</v>
      </c>
      <c r="O19" s="853">
        <f t="shared" si="5"/>
        <v>0</v>
      </c>
      <c r="P19" s="850">
        <f t="shared" si="5"/>
        <v>97722.895680000001</v>
      </c>
      <c r="Q19" s="853">
        <f t="shared" si="5"/>
        <v>1100674.74816</v>
      </c>
      <c r="R19" s="853">
        <f t="shared" si="5"/>
        <v>1041765.8304</v>
      </c>
      <c r="S19" s="853">
        <f t="shared" si="5"/>
        <v>58908.917760000004</v>
      </c>
    </row>
    <row r="20" spans="1:19">
      <c r="B20" s="462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</row>
    <row r="21" spans="1:19">
      <c r="B21" s="462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9"/>
      <c r="R21" s="349"/>
      <c r="S21" s="345"/>
    </row>
    <row r="22" spans="1:19" s="84" customFormat="1" ht="30" customHeight="1">
      <c r="B22" s="1535" t="s">
        <v>226</v>
      </c>
      <c r="C22" s="1456"/>
      <c r="D22" s="1456"/>
      <c r="E22" s="1456"/>
      <c r="F22" s="1456"/>
      <c r="G22" s="1456"/>
      <c r="H22" s="1456"/>
      <c r="I22" s="1456"/>
      <c r="J22" s="1456"/>
      <c r="K22" s="1456"/>
      <c r="L22" s="1456"/>
      <c r="M22" s="1456"/>
      <c r="N22" s="1456"/>
      <c r="O22" s="1456"/>
      <c r="P22" s="1456"/>
      <c r="Q22" s="1456"/>
      <c r="R22" s="1456"/>
      <c r="S22" s="1456"/>
    </row>
    <row r="23" spans="1:19">
      <c r="B23" s="346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</row>
    <row r="24" spans="1:19">
      <c r="B24" s="346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</row>
    <row r="25" spans="1:19">
      <c r="B25" s="346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</row>
    <row r="26" spans="1:19">
      <c r="B26" s="346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</row>
    <row r="27" spans="1:19">
      <c r="B27" s="346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</row>
    <row r="28" spans="1:19">
      <c r="B28" s="346"/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</row>
    <row r="29" spans="1:19">
      <c r="B29" s="345"/>
      <c r="C29" s="345"/>
      <c r="D29" s="345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</row>
    <row r="30" spans="1:19">
      <c r="B30" s="345"/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</row>
    <row r="31" spans="1:19">
      <c r="B31" s="345"/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</row>
    <row r="32" spans="1:19"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</row>
    <row r="33" spans="2:19"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345"/>
      <c r="P33" s="345"/>
      <c r="Q33" s="345"/>
      <c r="R33" s="345"/>
      <c r="S33" s="345"/>
    </row>
    <row r="34" spans="2:19"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</row>
    <row r="35" spans="2:19">
      <c r="B35" s="345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</row>
    <row r="36" spans="2:19"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</row>
    <row r="37" spans="2:19"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</row>
    <row r="38" spans="2:19"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345"/>
      <c r="P38" s="345"/>
      <c r="Q38" s="345"/>
      <c r="R38" s="345"/>
      <c r="S38" s="345"/>
    </row>
    <row r="39" spans="2:19">
      <c r="B39" s="345"/>
      <c r="C39" s="345"/>
      <c r="D39" s="345"/>
      <c r="E39" s="345"/>
      <c r="F39" s="345"/>
      <c r="G39" s="345"/>
      <c r="H39" s="345"/>
      <c r="I39" s="345"/>
      <c r="J39" s="345"/>
      <c r="K39" s="345"/>
      <c r="L39" s="345"/>
      <c r="M39" s="345"/>
      <c r="N39" s="345"/>
      <c r="O39" s="345"/>
      <c r="P39" s="345"/>
      <c r="Q39" s="345"/>
      <c r="R39" s="345"/>
      <c r="S39" s="345"/>
    </row>
    <row r="40" spans="2:19">
      <c r="B40" s="345"/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</row>
    <row r="41" spans="2:19">
      <c r="B41" s="345"/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5"/>
      <c r="O41" s="345"/>
      <c r="P41" s="345"/>
      <c r="Q41" s="345"/>
      <c r="R41" s="345"/>
      <c r="S41" s="345"/>
    </row>
    <row r="42" spans="2:19">
      <c r="B42" s="345"/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/>
    </row>
    <row r="43" spans="2:19">
      <c r="B43" s="345"/>
      <c r="C43" s="345"/>
      <c r="D43" s="345"/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345"/>
    </row>
    <row r="44" spans="2:19">
      <c r="B44" s="345"/>
      <c r="C44" s="345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5"/>
      <c r="S44" s="345"/>
    </row>
    <row r="45" spans="2:19">
      <c r="B45" s="345"/>
      <c r="C45" s="345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</row>
    <row r="46" spans="2:19">
      <c r="B46" s="345"/>
      <c r="C46" s="345"/>
      <c r="D46" s="345"/>
      <c r="E46" s="345"/>
      <c r="F46" s="345"/>
      <c r="G46" s="345"/>
      <c r="H46" s="345"/>
      <c r="I46" s="345"/>
      <c r="J46" s="345"/>
      <c r="K46" s="345"/>
      <c r="L46" s="345"/>
      <c r="M46" s="345"/>
      <c r="N46" s="345"/>
      <c r="O46" s="345"/>
      <c r="P46" s="345"/>
      <c r="Q46" s="345"/>
      <c r="R46" s="345"/>
      <c r="S46" s="345"/>
    </row>
    <row r="47" spans="2:19">
      <c r="B47" s="345"/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5"/>
      <c r="S47" s="345"/>
    </row>
    <row r="48" spans="2:19">
      <c r="B48" s="345"/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345"/>
      <c r="P48" s="345"/>
      <c r="Q48" s="345"/>
      <c r="R48" s="345"/>
      <c r="S48" s="345"/>
    </row>
    <row r="49" spans="2:19">
      <c r="B49" s="345"/>
      <c r="C49" s="345"/>
      <c r="D49" s="345"/>
      <c r="E49" s="345"/>
      <c r="F49" s="345"/>
      <c r="G49" s="345"/>
      <c r="H49" s="345"/>
      <c r="I49" s="345"/>
      <c r="J49" s="345"/>
      <c r="K49" s="345"/>
      <c r="L49" s="345"/>
      <c r="M49" s="345"/>
      <c r="N49" s="345"/>
      <c r="O49" s="345"/>
      <c r="P49" s="345"/>
      <c r="Q49" s="345"/>
      <c r="R49" s="345"/>
      <c r="S49" s="345"/>
    </row>
    <row r="50" spans="2:19">
      <c r="B50" s="345"/>
      <c r="C50" s="345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</row>
    <row r="51" spans="2:19">
      <c r="B51" s="345"/>
      <c r="C51" s="345"/>
      <c r="D51" s="345"/>
      <c r="E51" s="345"/>
      <c r="F51" s="345"/>
      <c r="G51" s="345"/>
      <c r="H51" s="345"/>
      <c r="I51" s="345"/>
      <c r="J51" s="345"/>
      <c r="K51" s="345"/>
      <c r="L51" s="345"/>
      <c r="M51" s="345"/>
      <c r="N51" s="345"/>
      <c r="O51" s="345"/>
      <c r="P51" s="345"/>
      <c r="Q51" s="345"/>
      <c r="R51" s="345"/>
      <c r="S51" s="345"/>
    </row>
    <row r="52" spans="2:19">
      <c r="B52" s="345"/>
      <c r="C52" s="345"/>
      <c r="D52" s="345"/>
      <c r="E52" s="345"/>
      <c r="F52" s="345"/>
      <c r="G52" s="345"/>
      <c r="H52" s="345"/>
      <c r="I52" s="345"/>
      <c r="J52" s="345"/>
      <c r="K52" s="345"/>
      <c r="L52" s="345"/>
      <c r="M52" s="345"/>
      <c r="N52" s="345"/>
      <c r="O52" s="345"/>
      <c r="P52" s="345"/>
      <c r="Q52" s="345"/>
      <c r="R52" s="345"/>
      <c r="S52" s="345"/>
    </row>
    <row r="53" spans="2:19">
      <c r="B53" s="345"/>
      <c r="C53" s="345"/>
      <c r="D53" s="345"/>
      <c r="E53" s="345"/>
      <c r="F53" s="345"/>
      <c r="G53" s="345"/>
      <c r="H53" s="345"/>
      <c r="I53" s="345"/>
      <c r="J53" s="345"/>
      <c r="K53" s="345"/>
      <c r="L53" s="345"/>
      <c r="M53" s="345"/>
      <c r="N53" s="345"/>
      <c r="O53" s="345"/>
      <c r="P53" s="345"/>
      <c r="Q53" s="345"/>
      <c r="R53" s="345"/>
      <c r="S53" s="345"/>
    </row>
  </sheetData>
  <mergeCells count="14">
    <mergeCell ref="R1:S1"/>
    <mergeCell ref="R8:R9"/>
    <mergeCell ref="S8:S9"/>
    <mergeCell ref="B22:S22"/>
    <mergeCell ref="B2:S2"/>
    <mergeCell ref="B7:S7"/>
    <mergeCell ref="B8:B9"/>
    <mergeCell ref="C8:C9"/>
    <mergeCell ref="D8:H8"/>
    <mergeCell ref="I8:M8"/>
    <mergeCell ref="N8:N9"/>
    <mergeCell ref="O8:O9"/>
    <mergeCell ref="P8:P9"/>
    <mergeCell ref="Q8:Q9"/>
  </mergeCells>
  <phoneticPr fontId="51" type="noConversion"/>
  <pageMargins left="0.96" right="0.39370078740157483" top="0.51181102362204722" bottom="0.39370078740157483" header="0.43307086614173229" footer="0.42"/>
  <pageSetup paperSize="9" scale="51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U51"/>
  <sheetViews>
    <sheetView topLeftCell="A10" zoomScaleSheetLayoutView="80" workbookViewId="0">
      <selection activeCell="B20" sqref="B20:N20"/>
    </sheetView>
  </sheetViews>
  <sheetFormatPr defaultRowHeight="12.75"/>
  <cols>
    <col min="1" max="1" width="1.85546875" customWidth="1"/>
    <col min="2" max="2" width="41.28515625" customWidth="1"/>
    <col min="3" max="3" width="11.28515625" customWidth="1"/>
    <col min="4" max="4" width="14.7109375" customWidth="1"/>
    <col min="5" max="5" width="13.140625" customWidth="1"/>
    <col min="6" max="6" width="13.7109375" customWidth="1"/>
    <col min="7" max="7" width="12.5703125" customWidth="1"/>
    <col min="8" max="9" width="14.42578125" customWidth="1"/>
    <col min="10" max="10" width="13" customWidth="1"/>
    <col min="11" max="11" width="14.42578125" customWidth="1"/>
    <col min="12" max="12" width="17.85546875" customWidth="1"/>
    <col min="13" max="13" width="16.85546875" customWidth="1"/>
    <col min="14" max="14" width="17" customWidth="1"/>
  </cols>
  <sheetData>
    <row r="1" spans="1:21" ht="18.75">
      <c r="B1" s="463"/>
      <c r="C1" s="347"/>
      <c r="D1" s="347"/>
      <c r="E1" s="448"/>
      <c r="F1" s="347"/>
      <c r="G1" s="391"/>
      <c r="H1" s="537"/>
      <c r="I1" s="537"/>
      <c r="J1" s="537"/>
      <c r="K1" s="391"/>
      <c r="M1" s="1550" t="s">
        <v>211</v>
      </c>
      <c r="N1" s="1550"/>
    </row>
    <row r="2" spans="1:21" ht="42.75" customHeight="1">
      <c r="B2" s="1553" t="s">
        <v>331</v>
      </c>
      <c r="C2" s="1553"/>
      <c r="D2" s="1553"/>
      <c r="E2" s="1553"/>
      <c r="F2" s="1553"/>
      <c r="G2" s="1553"/>
      <c r="H2" s="1553"/>
      <c r="I2" s="1553"/>
      <c r="J2" s="1553"/>
      <c r="K2" s="1553"/>
      <c r="L2" s="1553"/>
      <c r="M2" s="1553"/>
      <c r="N2" s="1553"/>
      <c r="O2" s="867"/>
      <c r="P2" s="867"/>
      <c r="Q2" s="867"/>
      <c r="R2" s="867"/>
      <c r="S2" s="867"/>
      <c r="T2" s="867"/>
      <c r="U2" s="867"/>
    </row>
    <row r="3" spans="1:21" ht="15" customHeight="1">
      <c r="B3" s="388" t="s">
        <v>835</v>
      </c>
      <c r="C3" s="860"/>
      <c r="D3" s="860"/>
      <c r="E3" s="865"/>
      <c r="F3" s="845"/>
      <c r="G3" s="845"/>
      <c r="H3" s="845"/>
      <c r="I3" s="845"/>
      <c r="J3" s="845"/>
      <c r="K3" s="845"/>
      <c r="L3" s="845"/>
      <c r="M3" s="845"/>
      <c r="N3" s="845"/>
      <c r="O3" s="845"/>
      <c r="P3" s="845"/>
      <c r="Q3" s="845"/>
      <c r="R3" s="845"/>
      <c r="S3" s="845"/>
      <c r="T3" s="845"/>
      <c r="U3" s="845"/>
    </row>
    <row r="4" spans="1:21" ht="15" customHeight="1">
      <c r="B4" s="400" t="s">
        <v>836</v>
      </c>
      <c r="C4" s="400"/>
      <c r="D4" s="82">
        <v>2379</v>
      </c>
      <c r="E4" s="866" t="s">
        <v>807</v>
      </c>
      <c r="F4" s="845"/>
      <c r="G4" s="845"/>
      <c r="H4" s="845"/>
      <c r="I4" s="845"/>
      <c r="J4" s="845"/>
      <c r="K4" s="845"/>
      <c r="L4" s="845"/>
      <c r="M4" s="845"/>
      <c r="N4" s="845"/>
      <c r="O4" s="845"/>
      <c r="P4" s="845"/>
      <c r="Q4" s="845"/>
      <c r="R4" s="845"/>
      <c r="S4" s="845"/>
      <c r="T4" s="845"/>
      <c r="U4" s="845"/>
    </row>
    <row r="5" spans="1:21" ht="15" customHeight="1">
      <c r="B5" s="400" t="s">
        <v>837</v>
      </c>
      <c r="C5" s="400"/>
      <c r="D5" s="400">
        <v>2481</v>
      </c>
      <c r="E5" s="866" t="s">
        <v>807</v>
      </c>
      <c r="F5" s="845"/>
      <c r="G5" s="845"/>
      <c r="H5" s="845"/>
      <c r="I5" s="845"/>
      <c r="J5" s="845"/>
      <c r="K5" s="845"/>
      <c r="L5" s="845"/>
      <c r="M5" s="845"/>
      <c r="N5" s="845"/>
      <c r="O5" s="845"/>
      <c r="P5" s="845"/>
      <c r="Q5" s="845"/>
      <c r="R5" s="845"/>
      <c r="S5" s="845"/>
      <c r="T5" s="845"/>
      <c r="U5" s="845"/>
    </row>
    <row r="6" spans="1:21" ht="15" customHeight="1">
      <c r="B6" s="400" t="s">
        <v>838</v>
      </c>
      <c r="C6" s="400"/>
      <c r="D6" s="862">
        <f>((D4*2)+(D5*10))/12</f>
        <v>2464</v>
      </c>
      <c r="E6" s="866" t="s">
        <v>807</v>
      </c>
      <c r="F6" s="845"/>
      <c r="G6" s="845"/>
      <c r="H6" s="845"/>
      <c r="I6" s="845"/>
      <c r="J6" s="845"/>
      <c r="K6" s="845"/>
      <c r="L6" s="845"/>
      <c r="M6" s="845"/>
      <c r="N6" s="845"/>
      <c r="O6" s="845"/>
      <c r="P6" s="845"/>
      <c r="Q6" s="845"/>
      <c r="R6" s="845"/>
      <c r="S6" s="845"/>
      <c r="T6" s="845"/>
      <c r="U6" s="845"/>
    </row>
    <row r="7" spans="1:21" ht="13.5" thickBot="1">
      <c r="B7" s="1554" t="s">
        <v>807</v>
      </c>
      <c r="C7" s="1554"/>
      <c r="D7" s="1554"/>
      <c r="E7" s="1554"/>
      <c r="F7" s="1554"/>
      <c r="G7" s="1554"/>
      <c r="H7" s="1554"/>
      <c r="I7" s="1554"/>
      <c r="J7" s="1554"/>
      <c r="K7" s="1554"/>
      <c r="L7" s="1554"/>
      <c r="M7" s="1554"/>
      <c r="N7" s="1554"/>
    </row>
    <row r="8" spans="1:21" ht="33" customHeight="1" thickBot="1">
      <c r="B8" s="1555" t="s">
        <v>595</v>
      </c>
      <c r="C8" s="1557" t="s">
        <v>750</v>
      </c>
      <c r="D8" s="1569" t="s">
        <v>292</v>
      </c>
      <c r="E8" s="1570"/>
      <c r="F8" s="1570"/>
      <c r="G8" s="1570"/>
      <c r="H8" s="1571"/>
      <c r="I8" s="1567" t="s">
        <v>589</v>
      </c>
      <c r="J8" s="1568"/>
      <c r="K8" s="1551" t="s">
        <v>839</v>
      </c>
      <c r="L8" s="1551" t="s">
        <v>842</v>
      </c>
      <c r="M8" s="1551" t="s">
        <v>841</v>
      </c>
      <c r="N8" s="1551" t="s">
        <v>843</v>
      </c>
    </row>
    <row r="9" spans="1:21" ht="141" customHeight="1">
      <c r="B9" s="1556"/>
      <c r="C9" s="1558"/>
      <c r="D9" s="719" t="s">
        <v>840</v>
      </c>
      <c r="E9" s="719" t="s">
        <v>655</v>
      </c>
      <c r="F9" s="719" t="s">
        <v>654</v>
      </c>
      <c r="G9" s="719" t="s">
        <v>826</v>
      </c>
      <c r="H9" s="720" t="s">
        <v>751</v>
      </c>
      <c r="I9" s="720" t="s">
        <v>348</v>
      </c>
      <c r="J9" s="720" t="s">
        <v>855</v>
      </c>
      <c r="K9" s="1562"/>
      <c r="L9" s="1552"/>
      <c r="M9" s="1552"/>
      <c r="N9" s="1552"/>
    </row>
    <row r="10" spans="1:21" ht="35.1" customHeight="1">
      <c r="B10" s="847" t="s">
        <v>852</v>
      </c>
      <c r="C10" s="849">
        <v>1</v>
      </c>
      <c r="D10" s="850">
        <f>$D$6</f>
        <v>2464</v>
      </c>
      <c r="E10" s="848"/>
      <c r="F10" s="850"/>
      <c r="G10" s="850"/>
      <c r="H10" s="850">
        <v>24116</v>
      </c>
      <c r="I10" s="850"/>
      <c r="J10" s="850"/>
      <c r="K10" s="850">
        <f>H10+I10+J10</f>
        <v>24116</v>
      </c>
      <c r="L10" s="850">
        <f t="shared" ref="L10:L16" si="0">K10*12*C10</f>
        <v>289392</v>
      </c>
      <c r="M10" s="850">
        <f t="shared" ref="M10:M15" si="1">H10*C10*12</f>
        <v>289392</v>
      </c>
      <c r="N10" s="850">
        <f>(I10+J10)*12</f>
        <v>0</v>
      </c>
    </row>
    <row r="11" spans="1:21" ht="35.1" customHeight="1">
      <c r="A11" s="1"/>
      <c r="B11" s="847" t="s">
        <v>431</v>
      </c>
      <c r="C11" s="849">
        <v>1</v>
      </c>
      <c r="D11" s="850">
        <f t="shared" ref="D11:D16" si="2">$D$6</f>
        <v>2464</v>
      </c>
      <c r="E11" s="848"/>
      <c r="F11" s="850"/>
      <c r="G11" s="850"/>
      <c r="H11" s="850">
        <v>16881</v>
      </c>
      <c r="I11" s="850"/>
      <c r="J11" s="850"/>
      <c r="K11" s="850">
        <f t="shared" ref="K11:K16" si="3">H11+I11+J11</f>
        <v>16881</v>
      </c>
      <c r="L11" s="850">
        <f t="shared" si="0"/>
        <v>202572</v>
      </c>
      <c r="M11" s="850">
        <f t="shared" si="1"/>
        <v>202572</v>
      </c>
      <c r="N11" s="850">
        <f t="shared" ref="N11:N16" si="4">(I11+J11)*12</f>
        <v>0</v>
      </c>
    </row>
    <row r="12" spans="1:21" ht="35.1" customHeight="1">
      <c r="A12" s="1"/>
      <c r="B12" s="847" t="s">
        <v>716</v>
      </c>
      <c r="C12" s="849">
        <v>1</v>
      </c>
      <c r="D12" s="850">
        <f t="shared" si="2"/>
        <v>2464</v>
      </c>
      <c r="E12" s="848"/>
      <c r="F12" s="850"/>
      <c r="G12" s="850"/>
      <c r="H12" s="850">
        <v>15675</v>
      </c>
      <c r="I12" s="850"/>
      <c r="J12" s="850"/>
      <c r="K12" s="850">
        <f t="shared" si="3"/>
        <v>15675</v>
      </c>
      <c r="L12" s="850">
        <f t="shared" si="0"/>
        <v>188100</v>
      </c>
      <c r="M12" s="850">
        <f t="shared" si="1"/>
        <v>188100</v>
      </c>
      <c r="N12" s="850">
        <f t="shared" si="4"/>
        <v>0</v>
      </c>
    </row>
    <row r="13" spans="1:21" ht="35.1" customHeight="1">
      <c r="A13" s="1"/>
      <c r="B13" s="847" t="s">
        <v>350</v>
      </c>
      <c r="C13" s="849">
        <v>1</v>
      </c>
      <c r="D13" s="850">
        <f t="shared" si="2"/>
        <v>2464</v>
      </c>
      <c r="E13" s="848">
        <v>1.6</v>
      </c>
      <c r="F13" s="850">
        <v>1.66</v>
      </c>
      <c r="G13" s="850">
        <v>2</v>
      </c>
      <c r="H13" s="850">
        <f>D13*E13*F13*G13</f>
        <v>13088.768</v>
      </c>
      <c r="I13" s="850"/>
      <c r="J13" s="850"/>
      <c r="K13" s="850">
        <f t="shared" si="3"/>
        <v>13088.768</v>
      </c>
      <c r="L13" s="850">
        <f t="shared" si="0"/>
        <v>157065.21600000001</v>
      </c>
      <c r="M13" s="850">
        <f t="shared" si="1"/>
        <v>157065.21600000001</v>
      </c>
      <c r="N13" s="850">
        <f t="shared" si="4"/>
        <v>0</v>
      </c>
    </row>
    <row r="14" spans="1:21" ht="35.1" customHeight="1">
      <c r="A14" s="1"/>
      <c r="B14" s="847" t="s">
        <v>853</v>
      </c>
      <c r="C14" s="849">
        <v>1</v>
      </c>
      <c r="D14" s="850">
        <f t="shared" si="2"/>
        <v>2464</v>
      </c>
      <c r="E14" s="848">
        <v>1.6</v>
      </c>
      <c r="F14" s="850">
        <v>1.66</v>
      </c>
      <c r="G14" s="850">
        <v>2</v>
      </c>
      <c r="H14" s="850">
        <f>D14*E14*F14*G14</f>
        <v>13088.768</v>
      </c>
      <c r="I14" s="850"/>
      <c r="J14" s="850"/>
      <c r="K14" s="850">
        <f t="shared" si="3"/>
        <v>13088.768</v>
      </c>
      <c r="L14" s="850">
        <f t="shared" si="0"/>
        <v>157065.21600000001</v>
      </c>
      <c r="M14" s="850">
        <f t="shared" si="1"/>
        <v>157065.21600000001</v>
      </c>
      <c r="N14" s="850">
        <f t="shared" si="4"/>
        <v>0</v>
      </c>
    </row>
    <row r="15" spans="1:21" ht="35.1" customHeight="1">
      <c r="A15" s="1"/>
      <c r="B15" s="847" t="s">
        <v>854</v>
      </c>
      <c r="C15" s="849">
        <v>1</v>
      </c>
      <c r="D15" s="850">
        <f t="shared" si="2"/>
        <v>2464</v>
      </c>
      <c r="E15" s="848">
        <v>1.6</v>
      </c>
      <c r="F15" s="850">
        <v>1.66</v>
      </c>
      <c r="G15" s="850">
        <v>2</v>
      </c>
      <c r="H15" s="850">
        <f>D15*E15*F15*G15</f>
        <v>13088.768</v>
      </c>
      <c r="I15" s="850"/>
      <c r="J15" s="850">
        <f>H15*0.05</f>
        <v>654.4384</v>
      </c>
      <c r="K15" s="850">
        <f t="shared" si="3"/>
        <v>13743.206399999999</v>
      </c>
      <c r="L15" s="850">
        <f t="shared" si="0"/>
        <v>164918.4768</v>
      </c>
      <c r="M15" s="850">
        <f t="shared" si="1"/>
        <v>157065.21600000001</v>
      </c>
      <c r="N15" s="850">
        <f t="shared" si="4"/>
        <v>7853.2608</v>
      </c>
    </row>
    <row r="16" spans="1:21" ht="35.1" customHeight="1">
      <c r="A16" s="1"/>
      <c r="B16" s="847" t="s">
        <v>983</v>
      </c>
      <c r="C16" s="849">
        <v>1</v>
      </c>
      <c r="D16" s="850">
        <f t="shared" si="2"/>
        <v>2464</v>
      </c>
      <c r="E16" s="848"/>
      <c r="F16" s="850"/>
      <c r="G16" s="850"/>
      <c r="H16" s="850">
        <v>6300</v>
      </c>
      <c r="I16" s="850">
        <f>H16*0.2</f>
        <v>1260</v>
      </c>
      <c r="J16" s="850"/>
      <c r="K16" s="850">
        <f t="shared" si="3"/>
        <v>7560</v>
      </c>
      <c r="L16" s="850">
        <f t="shared" si="0"/>
        <v>90720</v>
      </c>
      <c r="M16" s="850">
        <f>H16*C16*12</f>
        <v>75600</v>
      </c>
      <c r="N16" s="850">
        <f t="shared" si="4"/>
        <v>15120</v>
      </c>
    </row>
    <row r="17" spans="1:14" ht="35.1" customHeight="1">
      <c r="A17" s="1"/>
      <c r="B17" s="852" t="s">
        <v>590</v>
      </c>
      <c r="C17" s="854">
        <f>SUM(C10:C16)</f>
        <v>7</v>
      </c>
      <c r="D17" s="853"/>
      <c r="E17" s="853"/>
      <c r="F17" s="853"/>
      <c r="G17" s="853"/>
      <c r="H17" s="853">
        <f>SUM(H10:H16)</f>
        <v>102238.30399999999</v>
      </c>
      <c r="I17" s="853"/>
      <c r="J17" s="853">
        <f>SUM(J10:J16)</f>
        <v>654.4384</v>
      </c>
      <c r="K17" s="853">
        <f>SUM(K10:K16)</f>
        <v>104152.74239999999</v>
      </c>
      <c r="L17" s="853">
        <f>SUM(L10:L16)</f>
        <v>1249832.9088000001</v>
      </c>
      <c r="M17" s="853">
        <f>SUM(M10:M16)</f>
        <v>1226859.648</v>
      </c>
      <c r="N17" s="853">
        <f>SUM(N10:N16)</f>
        <v>22973.2608</v>
      </c>
    </row>
    <row r="18" spans="1:14" s="538" customFormat="1" ht="35.1" customHeight="1">
      <c r="B18" s="1379" t="s">
        <v>919</v>
      </c>
      <c r="C18" s="1380"/>
      <c r="D18" s="1380"/>
      <c r="E18" s="1380"/>
      <c r="F18" s="1380"/>
      <c r="G18" s="1380"/>
      <c r="H18" s="1380"/>
      <c r="I18" s="1380"/>
      <c r="J18" s="1380"/>
      <c r="K18" s="1380"/>
      <c r="L18" s="1381">
        <f>L10+L11</f>
        <v>491964</v>
      </c>
      <c r="M18" s="1381">
        <f>M10+M11</f>
        <v>491964</v>
      </c>
      <c r="N18" s="1381">
        <f>N10+N11</f>
        <v>0</v>
      </c>
    </row>
    <row r="19" spans="1:14">
      <c r="B19" s="462"/>
      <c r="C19" s="345"/>
      <c r="D19" s="345"/>
      <c r="E19" s="345"/>
      <c r="F19" s="345"/>
      <c r="G19" s="345"/>
      <c r="H19" s="345"/>
      <c r="I19" s="345"/>
      <c r="J19" s="345"/>
      <c r="K19" s="345"/>
      <c r="L19" s="349"/>
      <c r="M19" s="349"/>
      <c r="N19" s="345"/>
    </row>
    <row r="20" spans="1:14" s="84" customFormat="1" ht="35.25" customHeight="1">
      <c r="B20" s="1535" t="s">
        <v>212</v>
      </c>
      <c r="C20" s="1456"/>
      <c r="D20" s="1456"/>
      <c r="E20" s="1456"/>
      <c r="F20" s="1456"/>
      <c r="G20" s="1456"/>
      <c r="H20" s="1456"/>
      <c r="I20" s="1456"/>
      <c r="J20" s="1456"/>
      <c r="K20" s="1456"/>
      <c r="L20" s="1456"/>
      <c r="M20" s="1456"/>
      <c r="N20" s="1456"/>
    </row>
    <row r="21" spans="1:14">
      <c r="B21" s="346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</row>
    <row r="22" spans="1:14">
      <c r="B22" s="346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</row>
    <row r="23" spans="1:14">
      <c r="B23" s="346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</row>
    <row r="24" spans="1:14">
      <c r="B24" s="346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</row>
    <row r="25" spans="1:14">
      <c r="B25" s="346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</row>
    <row r="26" spans="1:14">
      <c r="B26" s="346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</row>
    <row r="27" spans="1:14"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</row>
    <row r="28" spans="1:14">
      <c r="B28" s="345"/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</row>
    <row r="29" spans="1:14">
      <c r="B29" s="345"/>
      <c r="C29" s="345"/>
      <c r="D29" s="345"/>
      <c r="E29" s="345"/>
      <c r="F29" s="345"/>
      <c r="G29" s="345"/>
      <c r="H29" s="345"/>
      <c r="I29" s="345"/>
      <c r="J29" s="345"/>
      <c r="K29" s="345"/>
      <c r="L29" s="345"/>
      <c r="M29" s="345"/>
      <c r="N29" s="345"/>
    </row>
    <row r="30" spans="1:14">
      <c r="B30" s="345"/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45"/>
    </row>
    <row r="31" spans="1:14">
      <c r="B31" s="345"/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5"/>
    </row>
    <row r="32" spans="1:14"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</row>
    <row r="33" spans="2:14"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</row>
    <row r="34" spans="2:14"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</row>
    <row r="35" spans="2:14">
      <c r="B35" s="345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</row>
    <row r="36" spans="2:14"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</row>
    <row r="37" spans="2:14"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</row>
    <row r="38" spans="2:14"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345"/>
      <c r="N38" s="345"/>
    </row>
    <row r="39" spans="2:14">
      <c r="B39" s="345"/>
      <c r="C39" s="345"/>
      <c r="D39" s="345"/>
      <c r="E39" s="345"/>
      <c r="F39" s="345"/>
      <c r="G39" s="345"/>
      <c r="H39" s="345"/>
      <c r="I39" s="345"/>
      <c r="J39" s="345"/>
      <c r="K39" s="345"/>
      <c r="L39" s="345"/>
      <c r="M39" s="345"/>
      <c r="N39" s="345"/>
    </row>
    <row r="40" spans="2:14">
      <c r="B40" s="345"/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</row>
    <row r="41" spans="2:14">
      <c r="B41" s="345"/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5"/>
    </row>
    <row r="42" spans="2:14">
      <c r="B42" s="345"/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</row>
    <row r="43" spans="2:14">
      <c r="B43" s="345"/>
      <c r="C43" s="345"/>
      <c r="D43" s="345"/>
      <c r="E43" s="345"/>
      <c r="F43" s="345"/>
      <c r="G43" s="345"/>
      <c r="H43" s="345"/>
      <c r="I43" s="345"/>
      <c r="J43" s="345"/>
      <c r="K43" s="345"/>
      <c r="L43" s="345"/>
      <c r="M43" s="345"/>
      <c r="N43" s="345"/>
    </row>
    <row r="44" spans="2:14">
      <c r="B44" s="345"/>
      <c r="C44" s="345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5"/>
    </row>
    <row r="45" spans="2:14">
      <c r="B45" s="345"/>
      <c r="C45" s="345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</row>
    <row r="46" spans="2:14">
      <c r="B46" s="345"/>
      <c r="C46" s="345"/>
      <c r="D46" s="345"/>
      <c r="E46" s="345"/>
      <c r="F46" s="345"/>
      <c r="G46" s="345"/>
      <c r="H46" s="345"/>
      <c r="I46" s="345"/>
      <c r="J46" s="345"/>
      <c r="K46" s="345"/>
      <c r="L46" s="345"/>
      <c r="M46" s="345"/>
      <c r="N46" s="345"/>
    </row>
    <row r="47" spans="2:14">
      <c r="B47" s="345"/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</row>
    <row r="48" spans="2:14">
      <c r="B48" s="345"/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345"/>
    </row>
    <row r="49" spans="2:14">
      <c r="B49" s="345"/>
      <c r="C49" s="345"/>
      <c r="D49" s="345"/>
      <c r="E49" s="345"/>
      <c r="F49" s="345"/>
      <c r="G49" s="345"/>
      <c r="H49" s="345"/>
      <c r="I49" s="345"/>
      <c r="J49" s="345"/>
      <c r="K49" s="345"/>
      <c r="L49" s="345"/>
      <c r="M49" s="345"/>
      <c r="N49" s="345"/>
    </row>
    <row r="50" spans="2:14">
      <c r="B50" s="345"/>
      <c r="C50" s="345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</row>
    <row r="51" spans="2:14">
      <c r="B51" s="345"/>
      <c r="C51" s="345"/>
      <c r="D51" s="345"/>
      <c r="E51" s="345"/>
      <c r="F51" s="345"/>
      <c r="G51" s="345"/>
      <c r="H51" s="345"/>
      <c r="I51" s="345"/>
      <c r="J51" s="345"/>
      <c r="K51" s="345"/>
      <c r="L51" s="345"/>
      <c r="M51" s="345"/>
      <c r="N51" s="345"/>
    </row>
  </sheetData>
  <mergeCells count="12">
    <mergeCell ref="B20:N20"/>
    <mergeCell ref="B7:N7"/>
    <mergeCell ref="B8:B9"/>
    <mergeCell ref="C8:C9"/>
    <mergeCell ref="D8:H8"/>
    <mergeCell ref="K8:K9"/>
    <mergeCell ref="I8:J8"/>
    <mergeCell ref="M1:N1"/>
    <mergeCell ref="B2:N2"/>
    <mergeCell ref="L8:L9"/>
    <mergeCell ref="M8:M9"/>
    <mergeCell ref="N8:N9"/>
  </mergeCells>
  <phoneticPr fontId="51" type="noConversion"/>
  <pageMargins left="0.96" right="0.39370078740157483" top="0.51181102362204722" bottom="0.39370078740157483" header="0.43307086614173229" footer="0.42"/>
  <pageSetup paperSize="9" scale="51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/>
  <dimension ref="A1:S45"/>
  <sheetViews>
    <sheetView topLeftCell="F13" zoomScaleSheetLayoutView="80" workbookViewId="0">
      <selection activeCell="B17" sqref="B17:S34"/>
    </sheetView>
  </sheetViews>
  <sheetFormatPr defaultRowHeight="12.75"/>
  <cols>
    <col min="1" max="1" width="1.85546875" customWidth="1"/>
    <col min="2" max="2" width="41.28515625" customWidth="1"/>
    <col min="3" max="3" width="8.85546875" hidden="1" customWidth="1"/>
    <col min="4" max="4" width="11.28515625" customWidth="1"/>
    <col min="5" max="5" width="14.7109375" customWidth="1"/>
    <col min="6" max="6" width="13.140625" customWidth="1"/>
    <col min="7" max="7" width="13.7109375" customWidth="1"/>
    <col min="8" max="8" width="12.5703125" customWidth="1"/>
    <col min="9" max="9" width="14.85546875" customWidth="1"/>
    <col min="10" max="10" width="10" customWidth="1"/>
    <col min="11" max="12" width="9.85546875" customWidth="1"/>
    <col min="13" max="13" width="11.85546875" customWidth="1"/>
    <col min="14" max="14" width="10.140625" hidden="1" customWidth="1"/>
    <col min="15" max="15" width="1.85546875" hidden="1" customWidth="1"/>
    <col min="16" max="16" width="15" customWidth="1"/>
    <col min="17" max="18" width="14.5703125" customWidth="1"/>
    <col min="19" max="19" width="17" customWidth="1"/>
  </cols>
  <sheetData>
    <row r="1" spans="1:19" ht="34.5" customHeight="1">
      <c r="B1" s="463"/>
      <c r="C1" s="347"/>
      <c r="D1" s="347"/>
      <c r="E1" s="347"/>
      <c r="F1" s="448"/>
      <c r="G1" s="347"/>
      <c r="H1" s="391"/>
      <c r="I1" s="537"/>
      <c r="J1" s="537"/>
      <c r="K1" s="537"/>
      <c r="L1" s="537"/>
      <c r="M1" s="537"/>
      <c r="N1" s="391"/>
      <c r="O1" s="391"/>
      <c r="P1" s="391"/>
      <c r="R1" s="1550" t="s">
        <v>214</v>
      </c>
      <c r="S1" s="1550"/>
    </row>
    <row r="2" spans="1:19" ht="41.25" customHeight="1">
      <c r="B2" s="1553" t="s">
        <v>979</v>
      </c>
      <c r="C2" s="1553"/>
      <c r="D2" s="1553"/>
      <c r="E2" s="1553"/>
      <c r="F2" s="1553"/>
      <c r="G2" s="1553"/>
      <c r="H2" s="1553"/>
      <c r="I2" s="1553"/>
      <c r="J2" s="1553"/>
      <c r="K2" s="1553"/>
      <c r="L2" s="1553"/>
      <c r="M2" s="1553"/>
      <c r="N2" s="1553"/>
      <c r="O2" s="1553"/>
      <c r="P2" s="1553"/>
      <c r="Q2" s="1553"/>
      <c r="R2" s="1553"/>
      <c r="S2" s="1553"/>
    </row>
    <row r="3" spans="1:19" ht="15" customHeight="1">
      <c r="B3" s="388" t="s">
        <v>835</v>
      </c>
      <c r="C3" s="860"/>
      <c r="D3" s="860"/>
      <c r="E3" s="865"/>
      <c r="F3" s="845"/>
      <c r="G3" s="845"/>
      <c r="H3" s="845"/>
      <c r="I3" s="845"/>
      <c r="J3" s="845"/>
      <c r="K3" s="845"/>
      <c r="L3" s="845"/>
      <c r="M3" s="845"/>
      <c r="N3" s="845"/>
      <c r="O3" s="845"/>
      <c r="P3" s="845"/>
      <c r="Q3" s="845"/>
      <c r="R3" s="845"/>
      <c r="S3" s="845"/>
    </row>
    <row r="4" spans="1:19" ht="15" customHeight="1">
      <c r="B4" s="400" t="s">
        <v>836</v>
      </c>
      <c r="C4" s="400"/>
      <c r="D4" s="82">
        <v>2379</v>
      </c>
      <c r="E4" s="866" t="s">
        <v>807</v>
      </c>
      <c r="F4" s="845"/>
      <c r="G4" s="845"/>
      <c r="H4" s="845"/>
      <c r="I4" s="845"/>
      <c r="J4" s="845"/>
      <c r="K4" s="845"/>
      <c r="L4" s="845"/>
      <c r="M4" s="845"/>
      <c r="N4" s="845"/>
      <c r="O4" s="845"/>
      <c r="P4" s="845"/>
      <c r="Q4" s="845"/>
      <c r="R4" s="845"/>
      <c r="S4" s="845"/>
    </row>
    <row r="5" spans="1:19" ht="15" customHeight="1">
      <c r="B5" s="400" t="s">
        <v>837</v>
      </c>
      <c r="C5" s="400"/>
      <c r="D5" s="400">
        <v>2481</v>
      </c>
      <c r="E5" s="866" t="s">
        <v>807</v>
      </c>
      <c r="F5" s="845"/>
      <c r="G5" s="845"/>
      <c r="H5" s="845"/>
      <c r="I5" s="845"/>
      <c r="J5" s="845"/>
      <c r="K5" s="845"/>
      <c r="L5" s="845"/>
      <c r="M5" s="845"/>
      <c r="N5" s="845"/>
      <c r="O5" s="845"/>
      <c r="P5" s="845"/>
      <c r="Q5" s="845"/>
      <c r="R5" s="845"/>
      <c r="S5" s="845"/>
    </row>
    <row r="6" spans="1:19" ht="15" customHeight="1">
      <c r="B6" s="400" t="s">
        <v>838</v>
      </c>
      <c r="C6" s="400"/>
      <c r="D6" s="862">
        <f>((D4*2)+(D5*10))/12</f>
        <v>2464</v>
      </c>
      <c r="E6" s="866" t="s">
        <v>807</v>
      </c>
      <c r="F6" s="845"/>
      <c r="G6" s="845"/>
      <c r="H6" s="845"/>
      <c r="I6" s="845"/>
      <c r="J6" s="845"/>
      <c r="K6" s="845"/>
      <c r="L6" s="845"/>
      <c r="M6" s="845"/>
      <c r="N6" s="845"/>
      <c r="O6" s="845"/>
      <c r="P6" s="845"/>
      <c r="Q6" s="845"/>
      <c r="R6" s="845"/>
      <c r="S6" s="845"/>
    </row>
    <row r="7" spans="1:19" ht="13.5" thickBot="1">
      <c r="B7" s="1554" t="s">
        <v>807</v>
      </c>
      <c r="C7" s="1554"/>
      <c r="D7" s="1554"/>
      <c r="E7" s="1554"/>
      <c r="F7" s="1554"/>
      <c r="G7" s="1554"/>
      <c r="H7" s="1554"/>
      <c r="I7" s="1554"/>
      <c r="J7" s="1554"/>
      <c r="K7" s="1554"/>
      <c r="L7" s="1554"/>
      <c r="M7" s="1554"/>
      <c r="N7" s="1554"/>
      <c r="O7" s="1554"/>
      <c r="P7" s="1554"/>
      <c r="Q7" s="1554"/>
      <c r="R7" s="1554"/>
      <c r="S7" s="1554"/>
    </row>
    <row r="8" spans="1:19" ht="19.5" customHeight="1" thickBot="1">
      <c r="B8" s="1555" t="s">
        <v>595</v>
      </c>
      <c r="C8" s="1557" t="s">
        <v>752</v>
      </c>
      <c r="D8" s="1557" t="s">
        <v>750</v>
      </c>
      <c r="E8" s="1559" t="s">
        <v>292</v>
      </c>
      <c r="F8" s="1560"/>
      <c r="G8" s="1560"/>
      <c r="H8" s="1560"/>
      <c r="I8" s="1561"/>
      <c r="J8" s="1563" t="s">
        <v>589</v>
      </c>
      <c r="K8" s="1564"/>
      <c r="L8" s="1564"/>
      <c r="M8" s="1565"/>
      <c r="N8" s="1551" t="s">
        <v>591</v>
      </c>
      <c r="O8" s="1551" t="s">
        <v>592</v>
      </c>
      <c r="P8" s="1551" t="s">
        <v>839</v>
      </c>
      <c r="Q8" s="1551" t="s">
        <v>842</v>
      </c>
      <c r="R8" s="1551" t="s">
        <v>841</v>
      </c>
      <c r="S8" s="1551" t="s">
        <v>843</v>
      </c>
    </row>
    <row r="9" spans="1:19" ht="142.5" customHeight="1">
      <c r="B9" s="1556"/>
      <c r="C9" s="1558"/>
      <c r="D9" s="1558"/>
      <c r="E9" s="719" t="s">
        <v>840</v>
      </c>
      <c r="F9" s="719" t="s">
        <v>655</v>
      </c>
      <c r="G9" s="719" t="s">
        <v>654</v>
      </c>
      <c r="H9" s="719" t="s">
        <v>826</v>
      </c>
      <c r="I9" s="720" t="s">
        <v>751</v>
      </c>
      <c r="J9" s="846" t="s">
        <v>848</v>
      </c>
      <c r="K9" s="720" t="s">
        <v>822</v>
      </c>
      <c r="L9" s="720" t="s">
        <v>829</v>
      </c>
      <c r="M9" s="720" t="s">
        <v>830</v>
      </c>
      <c r="N9" s="1552"/>
      <c r="O9" s="1552"/>
      <c r="P9" s="1562"/>
      <c r="Q9" s="1552"/>
      <c r="R9" s="1552"/>
      <c r="S9" s="1552"/>
    </row>
    <row r="10" spans="1:19" ht="35.1" customHeight="1">
      <c r="B10" s="847" t="s">
        <v>980</v>
      </c>
      <c r="C10" s="848"/>
      <c r="D10" s="849">
        <v>1</v>
      </c>
      <c r="E10" s="850">
        <f>$D$6</f>
        <v>2464</v>
      </c>
      <c r="F10" s="848">
        <v>1.6</v>
      </c>
      <c r="G10" s="850">
        <v>1.66</v>
      </c>
      <c r="H10" s="850">
        <v>2</v>
      </c>
      <c r="I10" s="850">
        <f>E10*F10*G10*H10</f>
        <v>13088.768</v>
      </c>
      <c r="J10" s="850"/>
      <c r="K10" s="850"/>
      <c r="L10" s="850"/>
      <c r="M10" s="850"/>
      <c r="N10" s="850"/>
      <c r="O10" s="850"/>
      <c r="P10" s="850">
        <f>I10+K10+L10+M10</f>
        <v>13088.768</v>
      </c>
      <c r="Q10" s="850">
        <f>P10*12*D10</f>
        <v>157065.21600000001</v>
      </c>
      <c r="R10" s="850">
        <f>I10*D10*12</f>
        <v>157065.21600000001</v>
      </c>
      <c r="S10" s="850">
        <f>(J10+K10+L10+M10)*12*D10</f>
        <v>0</v>
      </c>
    </row>
    <row r="11" spans="1:19" ht="35.1" customHeight="1">
      <c r="A11" s="1"/>
      <c r="B11" s="852" t="s">
        <v>590</v>
      </c>
      <c r="C11" s="853" t="e">
        <f>#REF!+#REF!+#REF!</f>
        <v>#REF!</v>
      </c>
      <c r="D11" s="854">
        <f>SUM(D10:D10)</f>
        <v>1</v>
      </c>
      <c r="E11" s="853"/>
      <c r="F11" s="853"/>
      <c r="G11" s="853"/>
      <c r="H11" s="853"/>
      <c r="I11" s="853">
        <f t="shared" ref="I11:S11" si="0">SUM(I10:I10)</f>
        <v>13088.768</v>
      </c>
      <c r="J11" s="853">
        <f t="shared" si="0"/>
        <v>0</v>
      </c>
      <c r="K11" s="853">
        <f t="shared" si="0"/>
        <v>0</v>
      </c>
      <c r="L11" s="853">
        <f t="shared" si="0"/>
        <v>0</v>
      </c>
      <c r="M11" s="853">
        <f t="shared" si="0"/>
        <v>0</v>
      </c>
      <c r="N11" s="853">
        <f t="shared" si="0"/>
        <v>0</v>
      </c>
      <c r="O11" s="853">
        <f t="shared" si="0"/>
        <v>0</v>
      </c>
      <c r="P11" s="853">
        <f t="shared" si="0"/>
        <v>13088.768</v>
      </c>
      <c r="Q11" s="853">
        <f t="shared" si="0"/>
        <v>157065.21600000001</v>
      </c>
      <c r="R11" s="853">
        <f t="shared" si="0"/>
        <v>157065.21600000001</v>
      </c>
      <c r="S11" s="853">
        <f t="shared" si="0"/>
        <v>0</v>
      </c>
    </row>
    <row r="12" spans="1:19">
      <c r="B12" s="462"/>
      <c r="C12" s="346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345"/>
    </row>
    <row r="13" spans="1:19">
      <c r="B13" s="462"/>
      <c r="C13" s="346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9"/>
      <c r="R13" s="349"/>
      <c r="S13" s="345"/>
    </row>
    <row r="14" spans="1:19" ht="18">
      <c r="B14" s="1535" t="s">
        <v>213</v>
      </c>
      <c r="C14" s="1456"/>
      <c r="D14" s="1456"/>
      <c r="E14" s="1456"/>
      <c r="F14" s="1456"/>
      <c r="G14" s="1456"/>
      <c r="H14" s="1456"/>
      <c r="I14" s="1456"/>
      <c r="J14" s="1456"/>
      <c r="K14" s="1456"/>
      <c r="L14" s="1456"/>
      <c r="M14" s="1456"/>
      <c r="N14" s="1456"/>
      <c r="O14" s="1456"/>
      <c r="P14" s="1456"/>
      <c r="Q14" s="1456"/>
      <c r="R14" s="1456"/>
      <c r="S14" s="1456"/>
    </row>
    <row r="15" spans="1:19">
      <c r="B15" s="346"/>
      <c r="C15" s="346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</row>
    <row r="16" spans="1:19">
      <c r="B16" s="346"/>
      <c r="C16" s="346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</row>
    <row r="17" spans="1:19">
      <c r="B17" s="346"/>
      <c r="C17" s="346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</row>
    <row r="18" spans="1:19">
      <c r="B18" s="346"/>
      <c r="C18" s="346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</row>
    <row r="19" spans="1:19" ht="34.5" customHeight="1">
      <c r="B19" s="463"/>
      <c r="C19" s="347"/>
      <c r="D19" s="347"/>
      <c r="E19" s="347"/>
      <c r="F19" s="448"/>
      <c r="G19" s="347"/>
      <c r="H19" s="391"/>
      <c r="I19" s="537"/>
      <c r="J19" s="537"/>
      <c r="K19" s="537"/>
      <c r="L19" s="537"/>
      <c r="M19" s="537"/>
      <c r="N19" s="391"/>
      <c r="O19" s="391"/>
      <c r="P19" s="391"/>
      <c r="R19" s="1550" t="s">
        <v>215</v>
      </c>
      <c r="S19" s="1550"/>
    </row>
    <row r="20" spans="1:19" ht="41.25" customHeight="1">
      <c r="B20" s="1553" t="s">
        <v>981</v>
      </c>
      <c r="C20" s="1553"/>
      <c r="D20" s="1553"/>
      <c r="E20" s="1553"/>
      <c r="F20" s="1553"/>
      <c r="G20" s="1553"/>
      <c r="H20" s="1553"/>
      <c r="I20" s="1553"/>
      <c r="J20" s="1553"/>
      <c r="K20" s="1553"/>
      <c r="L20" s="1553"/>
      <c r="M20" s="1553"/>
      <c r="N20" s="1553"/>
      <c r="O20" s="1553"/>
      <c r="P20" s="1553"/>
      <c r="Q20" s="1553"/>
      <c r="R20" s="1553"/>
      <c r="S20" s="1553"/>
    </row>
    <row r="21" spans="1:19" ht="15" customHeight="1">
      <c r="B21" s="388" t="s">
        <v>835</v>
      </c>
      <c r="C21" s="860"/>
      <c r="D21" s="860"/>
      <c r="E21" s="865"/>
      <c r="F21" s="845"/>
      <c r="G21" s="845"/>
      <c r="H21" s="845"/>
      <c r="I21" s="845"/>
      <c r="J21" s="845"/>
      <c r="K21" s="845"/>
      <c r="L21" s="845"/>
      <c r="M21" s="845"/>
      <c r="N21" s="845"/>
      <c r="O21" s="845"/>
      <c r="P21" s="845"/>
      <c r="Q21" s="845"/>
      <c r="R21" s="845"/>
      <c r="S21" s="845"/>
    </row>
    <row r="22" spans="1:19" ht="15" customHeight="1">
      <c r="B22" s="400" t="s">
        <v>836</v>
      </c>
      <c r="C22" s="400"/>
      <c r="D22" s="82">
        <v>2379</v>
      </c>
      <c r="E22" s="866" t="s">
        <v>807</v>
      </c>
      <c r="F22" s="845"/>
      <c r="G22" s="845"/>
      <c r="H22" s="845"/>
      <c r="I22" s="845"/>
      <c r="J22" s="845"/>
      <c r="K22" s="845"/>
      <c r="L22" s="845"/>
      <c r="M22" s="845"/>
      <c r="N22" s="845"/>
      <c r="O22" s="845"/>
      <c r="P22" s="845"/>
      <c r="Q22" s="845"/>
      <c r="R22" s="845"/>
      <c r="S22" s="845"/>
    </row>
    <row r="23" spans="1:19" ht="15" customHeight="1">
      <c r="B23" s="400" t="s">
        <v>837</v>
      </c>
      <c r="C23" s="400"/>
      <c r="D23" s="400">
        <v>2481</v>
      </c>
      <c r="E23" s="866" t="s">
        <v>807</v>
      </c>
      <c r="F23" s="845"/>
      <c r="G23" s="845"/>
      <c r="H23" s="845"/>
      <c r="I23" s="845"/>
      <c r="J23" s="845"/>
      <c r="K23" s="845"/>
      <c r="L23" s="845"/>
      <c r="M23" s="845"/>
      <c r="N23" s="845"/>
      <c r="O23" s="845"/>
      <c r="P23" s="845"/>
      <c r="Q23" s="845"/>
      <c r="R23" s="845"/>
      <c r="S23" s="845"/>
    </row>
    <row r="24" spans="1:19" ht="15" customHeight="1">
      <c r="B24" s="400" t="s">
        <v>838</v>
      </c>
      <c r="C24" s="400"/>
      <c r="D24" s="862">
        <f>((D22*2)+(D23*10))/12</f>
        <v>2464</v>
      </c>
      <c r="E24" s="866" t="s">
        <v>807</v>
      </c>
      <c r="F24" s="845"/>
      <c r="G24" s="845"/>
      <c r="H24" s="845"/>
      <c r="I24" s="845"/>
      <c r="J24" s="845"/>
      <c r="K24" s="845"/>
      <c r="L24" s="845"/>
      <c r="M24" s="845"/>
      <c r="N24" s="845"/>
      <c r="O24" s="845"/>
      <c r="P24" s="845"/>
      <c r="Q24" s="845"/>
      <c r="R24" s="845"/>
      <c r="S24" s="845"/>
    </row>
    <row r="25" spans="1:19" ht="13.5" thickBot="1">
      <c r="B25" s="1554" t="s">
        <v>807</v>
      </c>
      <c r="C25" s="1554"/>
      <c r="D25" s="1554"/>
      <c r="E25" s="1554"/>
      <c r="F25" s="1554"/>
      <c r="G25" s="1554"/>
      <c r="H25" s="1554"/>
      <c r="I25" s="1554"/>
      <c r="J25" s="1554"/>
      <c r="K25" s="1554"/>
      <c r="L25" s="1554"/>
      <c r="M25" s="1554"/>
      <c r="N25" s="1554"/>
      <c r="O25" s="1554"/>
      <c r="P25" s="1554"/>
      <c r="Q25" s="1554"/>
      <c r="R25" s="1554"/>
      <c r="S25" s="1554"/>
    </row>
    <row r="26" spans="1:19" ht="19.5" customHeight="1" thickBot="1">
      <c r="B26" s="1555" t="s">
        <v>595</v>
      </c>
      <c r="C26" s="1557" t="s">
        <v>752</v>
      </c>
      <c r="D26" s="1557" t="s">
        <v>750</v>
      </c>
      <c r="E26" s="1559" t="s">
        <v>292</v>
      </c>
      <c r="F26" s="1560"/>
      <c r="G26" s="1560"/>
      <c r="H26" s="1560"/>
      <c r="I26" s="1561"/>
      <c r="J26" s="1563" t="s">
        <v>589</v>
      </c>
      <c r="K26" s="1564"/>
      <c r="L26" s="1564"/>
      <c r="M26" s="1565"/>
      <c r="N26" s="1551" t="s">
        <v>591</v>
      </c>
      <c r="O26" s="1551" t="s">
        <v>592</v>
      </c>
      <c r="P26" s="1551" t="s">
        <v>839</v>
      </c>
      <c r="Q26" s="1551" t="s">
        <v>842</v>
      </c>
      <c r="R26" s="1551" t="s">
        <v>841</v>
      </c>
      <c r="S26" s="1551" t="s">
        <v>843</v>
      </c>
    </row>
    <row r="27" spans="1:19" ht="156" customHeight="1">
      <c r="B27" s="1556"/>
      <c r="C27" s="1558"/>
      <c r="D27" s="1558"/>
      <c r="E27" s="719" t="s">
        <v>840</v>
      </c>
      <c r="F27" s="719" t="s">
        <v>655</v>
      </c>
      <c r="G27" s="719" t="s">
        <v>654</v>
      </c>
      <c r="H27" s="719" t="s">
        <v>826</v>
      </c>
      <c r="I27" s="720" t="s">
        <v>751</v>
      </c>
      <c r="J27" s="846" t="s">
        <v>848</v>
      </c>
      <c r="K27" s="720" t="s">
        <v>822</v>
      </c>
      <c r="L27" s="720" t="s">
        <v>829</v>
      </c>
      <c r="M27" s="720" t="s">
        <v>830</v>
      </c>
      <c r="N27" s="1552"/>
      <c r="O27" s="1552"/>
      <c r="P27" s="1562"/>
      <c r="Q27" s="1552"/>
      <c r="R27" s="1552"/>
      <c r="S27" s="1552"/>
    </row>
    <row r="28" spans="1:19" ht="35.1" customHeight="1">
      <c r="B28" s="847" t="s">
        <v>844</v>
      </c>
      <c r="C28" s="848"/>
      <c r="D28" s="849">
        <v>1</v>
      </c>
      <c r="E28" s="850">
        <f>$D$6</f>
        <v>2464</v>
      </c>
      <c r="F28" s="848">
        <v>1.6</v>
      </c>
      <c r="G28" s="850">
        <v>1.66</v>
      </c>
      <c r="H28" s="850">
        <v>2</v>
      </c>
      <c r="I28" s="850">
        <f>E28*F28*G28*H28</f>
        <v>13088.768</v>
      </c>
      <c r="J28" s="850"/>
      <c r="K28" s="850"/>
      <c r="L28" s="850"/>
      <c r="M28" s="850"/>
      <c r="N28" s="850"/>
      <c r="O28" s="850"/>
      <c r="P28" s="850">
        <f>I28+K28+L28+M28</f>
        <v>13088.768</v>
      </c>
      <c r="Q28" s="850">
        <f>P28*12*D28</f>
        <v>157065.21600000001</v>
      </c>
      <c r="R28" s="850">
        <f>I28*D28*12</f>
        <v>157065.21600000001</v>
      </c>
      <c r="S28" s="850">
        <f>(J28+K28+L28+M28)*12*D28</f>
        <v>0</v>
      </c>
    </row>
    <row r="29" spans="1:19" ht="35.1" customHeight="1">
      <c r="A29" s="1"/>
      <c r="B29" s="852" t="s">
        <v>590</v>
      </c>
      <c r="C29" s="853" t="e">
        <f>#REF!+#REF!+#REF!</f>
        <v>#REF!</v>
      </c>
      <c r="D29" s="854">
        <f>SUM(D28:D28)</f>
        <v>1</v>
      </c>
      <c r="E29" s="853"/>
      <c r="F29" s="853"/>
      <c r="G29" s="853"/>
      <c r="H29" s="853"/>
      <c r="I29" s="853">
        <f t="shared" ref="I29:S29" si="1">SUM(I28:I28)</f>
        <v>13088.768</v>
      </c>
      <c r="J29" s="853">
        <f t="shared" si="1"/>
        <v>0</v>
      </c>
      <c r="K29" s="853">
        <f t="shared" si="1"/>
        <v>0</v>
      </c>
      <c r="L29" s="853">
        <f t="shared" si="1"/>
        <v>0</v>
      </c>
      <c r="M29" s="853">
        <f t="shared" si="1"/>
        <v>0</v>
      </c>
      <c r="N29" s="853">
        <f t="shared" si="1"/>
        <v>0</v>
      </c>
      <c r="O29" s="853">
        <f t="shared" si="1"/>
        <v>0</v>
      </c>
      <c r="P29" s="853">
        <f t="shared" si="1"/>
        <v>13088.768</v>
      </c>
      <c r="Q29" s="853">
        <f t="shared" si="1"/>
        <v>157065.21600000001</v>
      </c>
      <c r="R29" s="853">
        <f t="shared" si="1"/>
        <v>157065.21600000001</v>
      </c>
      <c r="S29" s="853">
        <f t="shared" si="1"/>
        <v>0</v>
      </c>
    </row>
    <row r="30" spans="1:19">
      <c r="B30" s="462"/>
      <c r="C30" s="346"/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</row>
    <row r="31" spans="1:19">
      <c r="B31" s="462"/>
      <c r="C31" s="346"/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9"/>
      <c r="R31" s="349"/>
      <c r="S31" s="345"/>
    </row>
    <row r="32" spans="1:19" ht="18">
      <c r="B32" s="1535" t="s">
        <v>216</v>
      </c>
      <c r="C32" s="1456"/>
      <c r="D32" s="1456"/>
      <c r="E32" s="1456"/>
      <c r="F32" s="1456"/>
      <c r="G32" s="1456"/>
      <c r="H32" s="1456"/>
      <c r="I32" s="1456"/>
      <c r="J32" s="1456"/>
      <c r="K32" s="1456"/>
      <c r="L32" s="1456"/>
      <c r="M32" s="1456"/>
      <c r="N32" s="1456"/>
      <c r="O32" s="1456"/>
      <c r="P32" s="1456"/>
      <c r="Q32" s="1456"/>
      <c r="R32" s="1456"/>
      <c r="S32" s="1456"/>
    </row>
    <row r="33" spans="2:19"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345"/>
      <c r="P33" s="345"/>
      <c r="Q33" s="345"/>
      <c r="R33" s="345"/>
      <c r="S33" s="345"/>
    </row>
    <row r="34" spans="2:19"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</row>
    <row r="35" spans="2:19">
      <c r="B35" s="345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</row>
    <row r="36" spans="2:19"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</row>
    <row r="37" spans="2:19"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5"/>
      <c r="P37" s="345"/>
      <c r="Q37" s="345"/>
      <c r="R37" s="345"/>
      <c r="S37" s="345"/>
    </row>
    <row r="38" spans="2:19"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345"/>
      <c r="P38" s="345"/>
      <c r="Q38" s="345"/>
      <c r="R38" s="345"/>
      <c r="S38" s="345"/>
    </row>
    <row r="39" spans="2:19">
      <c r="B39" s="345"/>
      <c r="C39" s="345"/>
      <c r="D39" s="345"/>
      <c r="E39" s="345"/>
      <c r="F39" s="345"/>
      <c r="G39" s="345"/>
      <c r="H39" s="345"/>
      <c r="I39" s="345"/>
      <c r="J39" s="345"/>
      <c r="K39" s="345"/>
      <c r="L39" s="345"/>
      <c r="M39" s="345"/>
      <c r="N39" s="345"/>
      <c r="O39" s="345"/>
      <c r="P39" s="345"/>
      <c r="Q39" s="345"/>
      <c r="R39" s="345"/>
      <c r="S39" s="345"/>
    </row>
    <row r="40" spans="2:19">
      <c r="B40" s="345"/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</row>
    <row r="41" spans="2:19">
      <c r="B41" s="345"/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5"/>
      <c r="O41" s="345"/>
      <c r="P41" s="345"/>
      <c r="Q41" s="345"/>
      <c r="R41" s="345"/>
      <c r="S41" s="345"/>
    </row>
    <row r="42" spans="2:19">
      <c r="B42" s="345"/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/>
    </row>
    <row r="43" spans="2:19">
      <c r="B43" s="345"/>
      <c r="C43" s="345"/>
      <c r="D43" s="345"/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345"/>
    </row>
    <row r="44" spans="2:19">
      <c r="B44" s="345"/>
      <c r="C44" s="345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5"/>
      <c r="S44" s="345"/>
    </row>
    <row r="45" spans="2:19">
      <c r="B45" s="345"/>
      <c r="C45" s="345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</row>
  </sheetData>
  <mergeCells count="30">
    <mergeCell ref="B32:S32"/>
    <mergeCell ref="B26:B27"/>
    <mergeCell ref="C26:C27"/>
    <mergeCell ref="D26:D27"/>
    <mergeCell ref="E26:I26"/>
    <mergeCell ref="J26:M26"/>
    <mergeCell ref="N26:N27"/>
    <mergeCell ref="O26:O27"/>
    <mergeCell ref="P26:P27"/>
    <mergeCell ref="Q26:Q27"/>
    <mergeCell ref="S8:S9"/>
    <mergeCell ref="B25:S25"/>
    <mergeCell ref="B14:S14"/>
    <mergeCell ref="B20:S20"/>
    <mergeCell ref="O8:O9"/>
    <mergeCell ref="P8:P9"/>
    <mergeCell ref="J8:M8"/>
    <mergeCell ref="N8:N9"/>
    <mergeCell ref="R26:R27"/>
    <mergeCell ref="S26:S27"/>
    <mergeCell ref="R1:S1"/>
    <mergeCell ref="R19:S19"/>
    <mergeCell ref="B2:S2"/>
    <mergeCell ref="B7:S7"/>
    <mergeCell ref="B8:B9"/>
    <mergeCell ref="C8:C9"/>
    <mergeCell ref="D8:D9"/>
    <mergeCell ref="E8:I8"/>
    <mergeCell ref="Q8:Q9"/>
    <mergeCell ref="R8:R9"/>
  </mergeCells>
  <phoneticPr fontId="51" type="noConversion"/>
  <pageMargins left="0.96" right="0.39370078740157483" top="0.51181102362204722" bottom="0.39370078740157483" header="0.43307086614173229" footer="0.42"/>
  <pageSetup paperSize="9" scale="5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R55"/>
  <sheetViews>
    <sheetView topLeftCell="B35" workbookViewId="0">
      <selection activeCell="B1" sqref="B1:H44"/>
    </sheetView>
  </sheetViews>
  <sheetFormatPr defaultColWidth="66.5703125" defaultRowHeight="15.75"/>
  <cols>
    <col min="1" max="1" width="2.28515625" style="1141" hidden="1" customWidth="1"/>
    <col min="2" max="2" width="5.5703125" style="1083" customWidth="1"/>
    <col min="3" max="3" width="66.5703125" style="1083" customWidth="1"/>
    <col min="4" max="4" width="11" style="1083" customWidth="1"/>
    <col min="5" max="5" width="15.28515625" style="1083" customWidth="1"/>
    <col min="6" max="6" width="12.42578125" style="1083" customWidth="1"/>
    <col min="7" max="7" width="12.28515625" style="1083" customWidth="1"/>
    <col min="8" max="8" width="12.7109375" style="1083" customWidth="1"/>
    <col min="9" max="9" width="12" customWidth="1"/>
    <col min="10" max="10" width="9.140625" customWidth="1"/>
    <col min="11" max="11" width="10.7109375" customWidth="1"/>
    <col min="12" max="12" width="9.140625" customWidth="1"/>
    <col min="13" max="13" width="12.85546875" customWidth="1"/>
    <col min="14" max="14" width="11.85546875" customWidth="1"/>
    <col min="15" max="253" width="9.140625" customWidth="1"/>
    <col min="254" max="254" width="0" hidden="1" customWidth="1"/>
    <col min="255" max="255" width="5.5703125" customWidth="1"/>
  </cols>
  <sheetData>
    <row r="1" spans="2:13">
      <c r="H1" s="1137" t="s">
        <v>189</v>
      </c>
    </row>
    <row r="3" spans="2:13">
      <c r="B3" s="1422" t="s">
        <v>152</v>
      </c>
      <c r="C3" s="1422"/>
      <c r="D3" s="1422"/>
      <c r="E3" s="1422"/>
      <c r="F3" s="1422"/>
      <c r="G3" s="1422"/>
      <c r="H3" s="1422"/>
      <c r="I3" s="1086"/>
    </row>
    <row r="4" spans="2:13">
      <c r="B4" s="1422" t="s">
        <v>263</v>
      </c>
      <c r="C4" s="1422"/>
      <c r="D4" s="1422"/>
      <c r="E4" s="1422"/>
      <c r="F4" s="1422"/>
      <c r="G4" s="1422"/>
      <c r="H4" s="1422"/>
    </row>
    <row r="5" spans="2:13">
      <c r="H5" s="1083" t="s">
        <v>437</v>
      </c>
    </row>
    <row r="6" spans="2:13" ht="15.75" customHeight="1">
      <c r="B6" s="1426" t="s">
        <v>438</v>
      </c>
      <c r="C6" s="1426" t="s">
        <v>439</v>
      </c>
      <c r="D6" s="1426" t="s">
        <v>440</v>
      </c>
      <c r="E6" s="1426" t="s">
        <v>441</v>
      </c>
      <c r="F6" s="1426" t="s">
        <v>153</v>
      </c>
      <c r="G6" s="1426"/>
      <c r="H6" s="1426"/>
      <c r="I6" s="4"/>
      <c r="K6" s="15"/>
    </row>
    <row r="7" spans="2:13" ht="15.75" customHeight="1">
      <c r="B7" s="1426"/>
      <c r="C7" s="1426"/>
      <c r="D7" s="1426"/>
      <c r="E7" s="1426"/>
      <c r="F7" s="1426"/>
      <c r="G7" s="1426"/>
      <c r="H7" s="1426"/>
    </row>
    <row r="8" spans="2:13" ht="39.75" customHeight="1">
      <c r="B8" s="1426"/>
      <c r="C8" s="1426"/>
      <c r="D8" s="1426"/>
      <c r="E8" s="1426"/>
      <c r="F8" s="1175" t="s">
        <v>442</v>
      </c>
      <c r="G8" s="1268" t="s">
        <v>443</v>
      </c>
      <c r="H8" s="1175" t="s">
        <v>444</v>
      </c>
      <c r="I8" s="4"/>
    </row>
    <row r="9" spans="2:13">
      <c r="B9" s="1269" t="s">
        <v>445</v>
      </c>
      <c r="C9" s="1089" t="s">
        <v>446</v>
      </c>
      <c r="D9" s="1089" t="s">
        <v>447</v>
      </c>
      <c r="E9" s="1089" t="s">
        <v>448</v>
      </c>
      <c r="F9" s="1089" t="s">
        <v>449</v>
      </c>
      <c r="G9" s="1089">
        <v>7</v>
      </c>
      <c r="H9" s="1089">
        <v>8</v>
      </c>
    </row>
    <row r="10" spans="2:13">
      <c r="B10" s="1269" t="s">
        <v>445</v>
      </c>
      <c r="C10" s="1234" t="s">
        <v>154</v>
      </c>
      <c r="D10" s="1089" t="s">
        <v>452</v>
      </c>
      <c r="E10" s="1270">
        <f>(F10*$F$34+G10*$G$34+H10*$H$34)/$E$34</f>
        <v>2151.0164401658672</v>
      </c>
      <c r="F10" s="1270">
        <f>F11+F13</f>
        <v>1751.4241977368006</v>
      </c>
      <c r="G10" s="1270">
        <f>G11+G13</f>
        <v>2857.1780658164948</v>
      </c>
      <c r="H10" s="1270">
        <f>H11+H13</f>
        <v>2857.1780658164944</v>
      </c>
      <c r="I10" s="15"/>
    </row>
    <row r="11" spans="2:13">
      <c r="B11" s="1269" t="s">
        <v>453</v>
      </c>
      <c r="C11" s="1235" t="s">
        <v>454</v>
      </c>
      <c r="D11" s="1089" t="s">
        <v>452</v>
      </c>
      <c r="E11" s="1271">
        <f t="shared" ref="E11:E25" si="0">(F11*$F$34+G11*$G$34+H11*$H$34)/$E$34</f>
        <v>2050.9935850120023</v>
      </c>
      <c r="F11" s="1271">
        <f>'Повна собів'!E29</f>
        <v>1669.9824915870818</v>
      </c>
      <c r="G11" s="1271">
        <f>'Повна собів'!F29</f>
        <v>2724.3185011522996</v>
      </c>
      <c r="H11" s="1271">
        <f>'Повна собів'!G29</f>
        <v>2724.3185011522992</v>
      </c>
      <c r="I11" s="4"/>
      <c r="J11" s="1114"/>
      <c r="K11" s="1138"/>
    </row>
    <row r="12" spans="2:13">
      <c r="B12" s="1269" t="s">
        <v>455</v>
      </c>
      <c r="C12" s="1235" t="s">
        <v>155</v>
      </c>
      <c r="D12" s="1089" t="s">
        <v>397</v>
      </c>
      <c r="E12" s="1271">
        <f t="shared" si="0"/>
        <v>0</v>
      </c>
      <c r="F12" s="1271">
        <v>0</v>
      </c>
      <c r="G12" s="1271">
        <v>0</v>
      </c>
      <c r="H12" s="1271">
        <v>0</v>
      </c>
      <c r="J12" s="1114"/>
      <c r="K12" s="1138"/>
      <c r="M12" s="15"/>
    </row>
    <row r="13" spans="2:13">
      <c r="B13" s="1269" t="s">
        <v>106</v>
      </c>
      <c r="C13" s="1235" t="s">
        <v>456</v>
      </c>
      <c r="D13" s="1089" t="s">
        <v>452</v>
      </c>
      <c r="E13" s="1271">
        <f t="shared" si="0"/>
        <v>100.02285515386532</v>
      </c>
      <c r="F13" s="1272">
        <f>'розр.виробн. дод.3'!F36/'розр.виробн. дод.3'!F50*1000</f>
        <v>81.441706149718812</v>
      </c>
      <c r="G13" s="1272">
        <f>'розр.виробн. дод.3'!G36/'розр.виробн. дод.3'!G50*1000</f>
        <v>132.85956466419532</v>
      </c>
      <c r="H13" s="1272">
        <f>'розр.виробн. дод.3'!H36/'розр.виробн. дод.3'!H50*1000</f>
        <v>132.85956466419535</v>
      </c>
      <c r="J13" s="1114"/>
    </row>
    <row r="14" spans="2:13">
      <c r="B14" s="1269" t="s">
        <v>446</v>
      </c>
      <c r="C14" s="1234" t="s">
        <v>156</v>
      </c>
      <c r="D14" s="1089" t="s">
        <v>452</v>
      </c>
      <c r="E14" s="1270">
        <f t="shared" si="0"/>
        <v>688.97574976468002</v>
      </c>
      <c r="F14" s="1270">
        <f>F15+F17</f>
        <v>688.9757497646799</v>
      </c>
      <c r="G14" s="1375">
        <f>G15+G17</f>
        <v>688.97574976468002</v>
      </c>
      <c r="H14" s="1375">
        <f>H15+H17</f>
        <v>688.97574976468002</v>
      </c>
      <c r="J14" s="1139"/>
    </row>
    <row r="15" spans="2:13">
      <c r="B15" s="1269" t="s">
        <v>457</v>
      </c>
      <c r="C15" s="1235" t="s">
        <v>458</v>
      </c>
      <c r="D15" s="1089" t="s">
        <v>452</v>
      </c>
      <c r="E15" s="1271">
        <f t="shared" si="0"/>
        <v>597.37460410045196</v>
      </c>
      <c r="F15" s="1271">
        <f>'Повна собів'!E63</f>
        <v>597.37460410045185</v>
      </c>
      <c r="G15" s="1272">
        <f>'Повна собів'!F63</f>
        <v>597.37460410045196</v>
      </c>
      <c r="H15" s="1272">
        <f>'Повна собів'!G63</f>
        <v>597.37460410045196</v>
      </c>
      <c r="I15" s="1078"/>
      <c r="J15" s="15"/>
      <c r="K15" s="1140"/>
    </row>
    <row r="16" spans="2:13">
      <c r="B16" s="1269" t="s">
        <v>459</v>
      </c>
      <c r="C16" s="1235" t="s">
        <v>155</v>
      </c>
      <c r="D16" s="1089" t="s">
        <v>397</v>
      </c>
      <c r="E16" s="1271">
        <f t="shared" si="0"/>
        <v>0</v>
      </c>
      <c r="F16" s="1272">
        <v>0</v>
      </c>
      <c r="G16" s="1272">
        <v>0</v>
      </c>
      <c r="H16" s="1272">
        <v>0</v>
      </c>
      <c r="I16" s="1078"/>
      <c r="J16" s="15"/>
      <c r="M16" s="15"/>
    </row>
    <row r="17" spans="1:16">
      <c r="B17" s="1269" t="s">
        <v>118</v>
      </c>
      <c r="C17" s="1235" t="s">
        <v>456</v>
      </c>
      <c r="D17" s="1089" t="s">
        <v>452</v>
      </c>
      <c r="E17" s="1271">
        <f t="shared" si="0"/>
        <v>91.601145664228014</v>
      </c>
      <c r="F17" s="1273">
        <f>'розр. транспорт. дод4'!F36/'розр. транспорт. дод4'!F51*1000</f>
        <v>91.601145664228</v>
      </c>
      <c r="G17" s="1273">
        <f>'розр. транспорт. дод4'!G36/'розр. транспорт. дод4'!G51*1000</f>
        <v>91.601145664228028</v>
      </c>
      <c r="H17" s="1273">
        <f>'розр. транспорт. дод4'!H36/'розр. транспорт. дод4'!H51*1000</f>
        <v>91.601145664228028</v>
      </c>
    </row>
    <row r="18" spans="1:16">
      <c r="B18" s="1269" t="s">
        <v>447</v>
      </c>
      <c r="C18" s="1234" t="s">
        <v>157</v>
      </c>
      <c r="D18" s="1089" t="s">
        <v>452</v>
      </c>
      <c r="E18" s="1270">
        <f t="shared" si="0"/>
        <v>90.297018471937051</v>
      </c>
      <c r="F18" s="1270">
        <f>F19+F20+F21</f>
        <v>90.297018471937051</v>
      </c>
      <c r="G18" s="1270">
        <f>G19+G20+G21</f>
        <v>90.297018471937051</v>
      </c>
      <c r="H18" s="1270">
        <f>H19+H20+H21</f>
        <v>90.297018471937065</v>
      </c>
      <c r="J18" s="15"/>
      <c r="K18" s="1114"/>
    </row>
    <row r="19" spans="1:16">
      <c r="B19" s="1269" t="s">
        <v>460</v>
      </c>
      <c r="C19" s="1235" t="s">
        <v>461</v>
      </c>
      <c r="D19" s="1089" t="s">
        <v>452</v>
      </c>
      <c r="E19" s="1271">
        <f t="shared" si="0"/>
        <v>86.098182316715466</v>
      </c>
      <c r="F19" s="1271">
        <f>'Повна собів'!E96</f>
        <v>86.098182316715466</v>
      </c>
      <c r="G19" s="1271">
        <f>'Повна собів'!F96</f>
        <v>86.098182316715466</v>
      </c>
      <c r="H19" s="1271">
        <f>'Повна собів'!G96</f>
        <v>86.09818231671548</v>
      </c>
      <c r="M19" s="4"/>
    </row>
    <row r="20" spans="1:16">
      <c r="B20" s="1269" t="s">
        <v>462</v>
      </c>
      <c r="C20" s="1235" t="s">
        <v>155</v>
      </c>
      <c r="D20" s="1089" t="s">
        <v>397</v>
      </c>
      <c r="E20" s="1271">
        <f t="shared" si="0"/>
        <v>0</v>
      </c>
      <c r="F20" s="1271">
        <v>0</v>
      </c>
      <c r="G20" s="1271">
        <v>0</v>
      </c>
      <c r="H20" s="1271">
        <v>0</v>
      </c>
      <c r="M20" s="15"/>
    </row>
    <row r="21" spans="1:16">
      <c r="B21" s="1269" t="s">
        <v>120</v>
      </c>
      <c r="C21" s="1235" t="s">
        <v>456</v>
      </c>
      <c r="D21" s="1089" t="s">
        <v>452</v>
      </c>
      <c r="E21" s="1271">
        <f t="shared" si="0"/>
        <v>4.1988361552215814</v>
      </c>
      <c r="F21" s="1273">
        <f>'розр. пост. дод.5'!F31/'розр. пост. дод.5'!F40*1000</f>
        <v>4.1988361552215805</v>
      </c>
      <c r="G21" s="1273">
        <f>'розр. пост. дод.5'!G31/'розр. пост. дод.5'!G40*1000</f>
        <v>4.1988361552215805</v>
      </c>
      <c r="H21" s="1273">
        <f>'розр. пост. дод.5'!H31/'розр. пост. дод.5'!H40*1000</f>
        <v>4.1988361552215805</v>
      </c>
      <c r="M21" s="4"/>
      <c r="O21" s="4"/>
    </row>
    <row r="22" spans="1:16">
      <c r="B22" s="1269" t="s">
        <v>448</v>
      </c>
      <c r="C22" s="1234" t="s">
        <v>158</v>
      </c>
      <c r="D22" s="1089" t="s">
        <v>452</v>
      </c>
      <c r="E22" s="1270">
        <f t="shared" si="0"/>
        <v>2930.2892084024838</v>
      </c>
      <c r="F22" s="1274">
        <f>F23+F25</f>
        <v>2530.6969659734173</v>
      </c>
      <c r="G22" s="1274">
        <f>G23+G25</f>
        <v>3636.450834053112</v>
      </c>
      <c r="H22" s="1274">
        <f>H23+H25</f>
        <v>3636.4508340531115</v>
      </c>
      <c r="J22" s="1139"/>
      <c r="K22" s="1139"/>
      <c r="L22" s="1139"/>
    </row>
    <row r="23" spans="1:16">
      <c r="B23" s="1269" t="s">
        <v>720</v>
      </c>
      <c r="C23" s="1235" t="s">
        <v>721</v>
      </c>
      <c r="D23" s="1089" t="s">
        <v>452</v>
      </c>
      <c r="E23" s="1271">
        <f t="shared" si="0"/>
        <v>2734.4663714291692</v>
      </c>
      <c r="F23" s="1275">
        <f t="shared" ref="F23:H25" si="1">F11+F15+F19</f>
        <v>2353.4552780042491</v>
      </c>
      <c r="G23" s="1275">
        <f t="shared" si="1"/>
        <v>3407.7912875694669</v>
      </c>
      <c r="H23" s="1272">
        <f t="shared" si="1"/>
        <v>3407.7912875694665</v>
      </c>
    </row>
    <row r="24" spans="1:16">
      <c r="B24" s="1269" t="s">
        <v>722</v>
      </c>
      <c r="C24" s="1235" t="s">
        <v>155</v>
      </c>
      <c r="D24" s="1089" t="s">
        <v>397</v>
      </c>
      <c r="E24" s="1271">
        <f t="shared" si="0"/>
        <v>0</v>
      </c>
      <c r="F24" s="1275">
        <f t="shared" si="1"/>
        <v>0</v>
      </c>
      <c r="G24" s="1275">
        <f t="shared" si="1"/>
        <v>0</v>
      </c>
      <c r="H24" s="1275">
        <f t="shared" si="1"/>
        <v>0</v>
      </c>
      <c r="M24" s="15"/>
    </row>
    <row r="25" spans="1:16">
      <c r="B25" s="1269" t="s">
        <v>159</v>
      </c>
      <c r="C25" s="1235" t="s">
        <v>456</v>
      </c>
      <c r="D25" s="1089" t="s">
        <v>452</v>
      </c>
      <c r="E25" s="1271">
        <f t="shared" si="0"/>
        <v>195.82283697331491</v>
      </c>
      <c r="F25" s="1275">
        <f t="shared" si="1"/>
        <v>177.2416879691684</v>
      </c>
      <c r="G25" s="1275">
        <f t="shared" si="1"/>
        <v>228.65954648364493</v>
      </c>
      <c r="H25" s="1275">
        <f t="shared" si="1"/>
        <v>228.65954648364496</v>
      </c>
      <c r="I25" s="1140"/>
      <c r="J25" s="1140"/>
      <c r="K25" s="1140"/>
      <c r="L25" s="1140"/>
    </row>
    <row r="26" spans="1:16" ht="28.5">
      <c r="B26" s="1219" t="s">
        <v>449</v>
      </c>
      <c r="C26" s="1234" t="s">
        <v>160</v>
      </c>
      <c r="D26" s="1090" t="s">
        <v>723</v>
      </c>
      <c r="E26" s="1130">
        <f>SUM(F26:H26)</f>
        <v>35110.72529507857</v>
      </c>
      <c r="F26" s="1130">
        <f>F22*$F$34/1000</f>
        <v>19364.893183628588</v>
      </c>
      <c r="G26" s="1130">
        <f>G22*$G$34/1000</f>
        <v>14618.532352893511</v>
      </c>
      <c r="H26" s="1130">
        <f>H22*$H$34/1000</f>
        <v>1127.2997585564647</v>
      </c>
      <c r="I26" s="1114"/>
      <c r="M26" s="15"/>
      <c r="O26" s="15"/>
      <c r="P26" s="15"/>
    </row>
    <row r="27" spans="1:16" ht="30">
      <c r="B27" s="1219" t="s">
        <v>724</v>
      </c>
      <c r="C27" s="1235" t="s">
        <v>725</v>
      </c>
      <c r="D27" s="1090" t="s">
        <v>723</v>
      </c>
      <c r="E27" s="1276">
        <f>SUM(F27:H27)</f>
        <v>32764.376062464304</v>
      </c>
      <c r="F27" s="1276">
        <f>F23*$F$34/1000</f>
        <v>18008.639787288514</v>
      </c>
      <c r="G27" s="1276">
        <f>G23*$G$34/1000</f>
        <v>13699.320976029256</v>
      </c>
      <c r="H27" s="1276">
        <f>H23*$H$34/1000</f>
        <v>1056.4152991465346</v>
      </c>
      <c r="I27" s="4"/>
      <c r="J27" s="1114"/>
    </row>
    <row r="28" spans="1:16">
      <c r="B28" s="1219" t="s">
        <v>726</v>
      </c>
      <c r="C28" s="1235" t="s">
        <v>155</v>
      </c>
      <c r="D28" s="1089" t="s">
        <v>692</v>
      </c>
      <c r="E28" s="1276">
        <f>SUM(F28:H28)</f>
        <v>0</v>
      </c>
      <c r="F28" s="1276">
        <v>0</v>
      </c>
      <c r="G28" s="1276">
        <v>0</v>
      </c>
      <c r="H28" s="1276">
        <v>0</v>
      </c>
    </row>
    <row r="29" spans="1:16" s="559" customFormat="1" ht="30">
      <c r="A29" s="1142"/>
      <c r="B29" s="1277" t="s">
        <v>161</v>
      </c>
      <c r="C29" s="1236" t="s">
        <v>727</v>
      </c>
      <c r="D29" s="1278" t="s">
        <v>723</v>
      </c>
      <c r="E29" s="1276">
        <f>SUM(F29:H29)</f>
        <v>2346.3492326142591</v>
      </c>
      <c r="F29" s="1279">
        <f>F25*F35/1000</f>
        <v>1356.2533963400765</v>
      </c>
      <c r="G29" s="1279">
        <f>G25*G35/1000</f>
        <v>919.21137686425266</v>
      </c>
      <c r="H29" s="1279">
        <f>H25*H35/1000</f>
        <v>70.884459409929946</v>
      </c>
      <c r="I29" s="1143"/>
      <c r="J29" s="1144"/>
    </row>
    <row r="30" spans="1:16" ht="42.75">
      <c r="B30" s="1219" t="s">
        <v>450</v>
      </c>
      <c r="C30" s="1234" t="s">
        <v>162</v>
      </c>
      <c r="D30" s="1090" t="s">
        <v>723</v>
      </c>
      <c r="E30" s="1130">
        <f t="shared" ref="E30:H33" si="2">E26</f>
        <v>35110.72529507857</v>
      </c>
      <c r="F30" s="1130">
        <f t="shared" si="2"/>
        <v>19364.893183628588</v>
      </c>
      <c r="G30" s="1130">
        <f t="shared" si="2"/>
        <v>14618.532352893511</v>
      </c>
      <c r="H30" s="1130">
        <f t="shared" si="2"/>
        <v>1127.2997585564647</v>
      </c>
      <c r="I30" s="1114"/>
    </row>
    <row r="31" spans="1:16" ht="30">
      <c r="B31" s="1219" t="s">
        <v>728</v>
      </c>
      <c r="C31" s="1235" t="s">
        <v>729</v>
      </c>
      <c r="D31" s="1090" t="s">
        <v>723</v>
      </c>
      <c r="E31" s="1276">
        <f t="shared" si="2"/>
        <v>32764.376062464304</v>
      </c>
      <c r="F31" s="1276">
        <f t="shared" si="2"/>
        <v>18008.639787288514</v>
      </c>
      <c r="G31" s="1276">
        <f t="shared" si="2"/>
        <v>13699.320976029256</v>
      </c>
      <c r="H31" s="1276">
        <f t="shared" si="2"/>
        <v>1056.4152991465346</v>
      </c>
    </row>
    <row r="32" spans="1:16">
      <c r="B32" s="1219" t="s">
        <v>730</v>
      </c>
      <c r="C32" s="1235" t="s">
        <v>155</v>
      </c>
      <c r="D32" s="1089" t="s">
        <v>692</v>
      </c>
      <c r="E32" s="1276">
        <f t="shared" si="2"/>
        <v>0</v>
      </c>
      <c r="F32" s="1276">
        <f t="shared" si="2"/>
        <v>0</v>
      </c>
      <c r="G32" s="1276">
        <f t="shared" si="2"/>
        <v>0</v>
      </c>
      <c r="H32" s="1276">
        <f t="shared" si="2"/>
        <v>0</v>
      </c>
    </row>
    <row r="33" spans="1:9" ht="30">
      <c r="B33" s="1219" t="s">
        <v>163</v>
      </c>
      <c r="C33" s="1235" t="s">
        <v>731</v>
      </c>
      <c r="D33" s="1090" t="s">
        <v>723</v>
      </c>
      <c r="E33" s="1276">
        <f t="shared" si="2"/>
        <v>2346.3492326142591</v>
      </c>
      <c r="F33" s="1276">
        <f t="shared" si="2"/>
        <v>1356.2533963400765</v>
      </c>
      <c r="G33" s="1276">
        <f t="shared" si="2"/>
        <v>919.21137686425266</v>
      </c>
      <c r="H33" s="1276">
        <f t="shared" si="2"/>
        <v>70.884459409929946</v>
      </c>
    </row>
    <row r="34" spans="1:9" ht="42.75">
      <c r="B34" s="1219" t="s">
        <v>451</v>
      </c>
      <c r="C34" s="1234" t="s">
        <v>164</v>
      </c>
      <c r="D34" s="1090" t="s">
        <v>732</v>
      </c>
      <c r="E34" s="1130">
        <f>E35+E36</f>
        <v>11982</v>
      </c>
      <c r="F34" s="1130">
        <f>F35+F36</f>
        <v>7652</v>
      </c>
      <c r="G34" s="1130">
        <f>G35+G36</f>
        <v>4020</v>
      </c>
      <c r="H34" s="1130">
        <f>H35+H36</f>
        <v>310</v>
      </c>
    </row>
    <row r="35" spans="1:9">
      <c r="B35" s="1269" t="s">
        <v>733</v>
      </c>
      <c r="C35" s="1235" t="s">
        <v>734</v>
      </c>
      <c r="D35" s="1089" t="s">
        <v>732</v>
      </c>
      <c r="E35" s="1276">
        <f>SUM(F35:H35)</f>
        <v>11982</v>
      </c>
      <c r="F35" s="1176">
        <v>7652</v>
      </c>
      <c r="G35" s="1176">
        <v>4020</v>
      </c>
      <c r="H35" s="1176">
        <v>310</v>
      </c>
      <c r="I35" s="15"/>
    </row>
    <row r="36" spans="1:9">
      <c r="B36" s="1269" t="s">
        <v>735</v>
      </c>
      <c r="C36" s="1235" t="s">
        <v>137</v>
      </c>
      <c r="D36" s="1089" t="s">
        <v>732</v>
      </c>
      <c r="E36" s="1092">
        <v>0</v>
      </c>
      <c r="F36" s="1092">
        <v>0</v>
      </c>
      <c r="G36" s="1092">
        <v>0</v>
      </c>
      <c r="H36" s="1092">
        <v>0</v>
      </c>
    </row>
    <row r="37" spans="1:9">
      <c r="A37" s="1145"/>
      <c r="B37" s="1269" t="s">
        <v>577</v>
      </c>
      <c r="C37" s="1234" t="s">
        <v>165</v>
      </c>
      <c r="D37" s="1269" t="s">
        <v>578</v>
      </c>
      <c r="E37" s="1269" t="s">
        <v>578</v>
      </c>
      <c r="F37" s="1269" t="s">
        <v>578</v>
      </c>
      <c r="G37" s="1269" t="s">
        <v>578</v>
      </c>
      <c r="H37" s="1269" t="s">
        <v>578</v>
      </c>
    </row>
    <row r="38" spans="1:9">
      <c r="B38" s="1269" t="s">
        <v>579</v>
      </c>
      <c r="C38" s="1235" t="s">
        <v>580</v>
      </c>
      <c r="D38" s="1089" t="s">
        <v>581</v>
      </c>
      <c r="E38" s="1280">
        <f>E13/E11</f>
        <v>4.8767999999999999E-2</v>
      </c>
      <c r="F38" s="1280">
        <f>F13/F11</f>
        <v>4.8768000000000006E-2</v>
      </c>
      <c r="G38" s="1280">
        <f>G13/G11</f>
        <v>4.8767999999999992E-2</v>
      </c>
      <c r="H38" s="1280">
        <f>H13/H11</f>
        <v>4.8768000000000006E-2</v>
      </c>
    </row>
    <row r="39" spans="1:9">
      <c r="B39" s="1269" t="s">
        <v>582</v>
      </c>
      <c r="C39" s="1235" t="s">
        <v>583</v>
      </c>
      <c r="D39" s="1089" t="s">
        <v>581</v>
      </c>
      <c r="E39" s="1280">
        <f>E17/E15</f>
        <v>0.15333953776318346</v>
      </c>
      <c r="F39" s="1280">
        <f>F17/F15</f>
        <v>0.15333953776318346</v>
      </c>
      <c r="G39" s="1280">
        <f>G17/G15</f>
        <v>0.15333953776318346</v>
      </c>
      <c r="H39" s="1280">
        <f>H17/H15</f>
        <v>0.15333953776318346</v>
      </c>
    </row>
    <row r="40" spans="1:9">
      <c r="B40" s="1269" t="s">
        <v>584</v>
      </c>
      <c r="C40" s="1235" t="s">
        <v>585</v>
      </c>
      <c r="D40" s="1089" t="s">
        <v>581</v>
      </c>
      <c r="E40" s="1280">
        <f>E21/E19</f>
        <v>4.876800000000002E-2</v>
      </c>
      <c r="F40" s="1280">
        <f>F21/F19</f>
        <v>4.8768000000000006E-2</v>
      </c>
      <c r="G40" s="1280">
        <f>G21/G19</f>
        <v>4.8768000000000006E-2</v>
      </c>
      <c r="H40" s="1280">
        <f>H21/H19</f>
        <v>4.8767999999999999E-2</v>
      </c>
    </row>
    <row r="41" spans="1:9">
      <c r="B41" s="1269" t="s">
        <v>586</v>
      </c>
      <c r="C41" s="1235" t="s">
        <v>587</v>
      </c>
      <c r="D41" s="1089" t="s">
        <v>581</v>
      </c>
      <c r="E41" s="1280">
        <f>E25/E23</f>
        <v>7.1612815948059391E-2</v>
      </c>
      <c r="F41" s="1280">
        <f>F25/F23</f>
        <v>7.5311262391810102E-2</v>
      </c>
      <c r="G41" s="1280">
        <f>G25/G23</f>
        <v>6.7099046622286357E-2</v>
      </c>
      <c r="H41" s="1280">
        <f>H25/H23</f>
        <v>6.7099046622286385E-2</v>
      </c>
    </row>
    <row r="42" spans="1:9">
      <c r="B42" s="1146"/>
      <c r="C42" s="1147"/>
      <c r="D42" s="1147"/>
      <c r="E42" s="1147"/>
      <c r="F42" s="1147"/>
      <c r="G42" s="1147"/>
      <c r="H42" s="1147"/>
    </row>
    <row r="43" spans="1:9">
      <c r="B43" s="1146"/>
      <c r="C43" s="1147"/>
      <c r="D43" s="1147"/>
      <c r="E43" s="1147"/>
      <c r="F43" s="1147"/>
      <c r="G43" s="1147"/>
      <c r="H43" s="1147"/>
    </row>
    <row r="44" spans="1:9" s="662" customFormat="1">
      <c r="A44" s="1141"/>
      <c r="B44" s="1148"/>
      <c r="C44" s="1149" t="s">
        <v>368</v>
      </c>
      <c r="D44" s="1149"/>
      <c r="E44" s="1417"/>
      <c r="F44" s="1417"/>
      <c r="G44" s="1427" t="s">
        <v>370</v>
      </c>
      <c r="H44" s="1427"/>
    </row>
    <row r="45" spans="1:9" ht="57" customHeight="1">
      <c r="C45" s="1425"/>
      <c r="D45" s="1425"/>
      <c r="E45" s="1425"/>
      <c r="F45" s="1425"/>
      <c r="G45" s="1425"/>
      <c r="H45" s="1425"/>
    </row>
    <row r="46" spans="1:9">
      <c r="C46" s="1150"/>
      <c r="D46" s="1133"/>
      <c r="E46" s="1133"/>
      <c r="F46" s="1133"/>
      <c r="G46" s="1133"/>
      <c r="H46" s="1133"/>
    </row>
    <row r="47" spans="1:9">
      <c r="C47" s="1150"/>
      <c r="D47" s="1133"/>
      <c r="E47" s="1078"/>
      <c r="F47" s="1133"/>
      <c r="G47" s="1133"/>
      <c r="H47" s="1133"/>
    </row>
    <row r="48" spans="1:9">
      <c r="G48" s="1133"/>
      <c r="H48" s="1133"/>
    </row>
    <row r="51" spans="5:18">
      <c r="E51" s="1151"/>
      <c r="F51" s="1151"/>
      <c r="G51" s="1151"/>
      <c r="H51" s="1151"/>
      <c r="L51" s="4"/>
    </row>
    <row r="52" spans="5:18">
      <c r="E52" s="1151"/>
      <c r="F52" s="1151"/>
      <c r="G52" s="1151"/>
      <c r="H52" s="1151"/>
      <c r="L52" s="4"/>
    </row>
    <row r="53" spans="5:18">
      <c r="E53" s="1151"/>
      <c r="F53" s="1151"/>
      <c r="G53" s="1151"/>
      <c r="H53" s="1151"/>
      <c r="L53" s="4"/>
    </row>
    <row r="54" spans="5:18">
      <c r="E54" s="1151"/>
      <c r="F54" s="1151"/>
      <c r="G54" s="1151"/>
      <c r="H54" s="1151"/>
      <c r="L54" s="4"/>
      <c r="M54" s="4"/>
      <c r="N54" s="4"/>
      <c r="O54" s="4"/>
      <c r="P54" s="4"/>
      <c r="Q54" s="4"/>
      <c r="R54" s="4"/>
    </row>
    <row r="55" spans="5:18">
      <c r="E55" s="1151"/>
      <c r="F55" s="1151"/>
      <c r="G55" s="1151"/>
      <c r="H55" s="1151"/>
      <c r="M55" s="4"/>
      <c r="O55" s="4"/>
      <c r="Q55" s="4"/>
    </row>
  </sheetData>
  <mergeCells count="10">
    <mergeCell ref="E44:F44"/>
    <mergeCell ref="C45:H45"/>
    <mergeCell ref="B3:H3"/>
    <mergeCell ref="B4:H4"/>
    <mergeCell ref="B6:B8"/>
    <mergeCell ref="C6:C8"/>
    <mergeCell ref="D6:D8"/>
    <mergeCell ref="E6:E8"/>
    <mergeCell ref="F6:H7"/>
    <mergeCell ref="G44:H44"/>
  </mergeCells>
  <phoneticPr fontId="51" type="noConversion"/>
  <pageMargins left="0.6692913385826772" right="0.15748031496062992" top="0" bottom="0.47244094488188981" header="0.51181102362204722" footer="0.51181102362204722"/>
  <pageSetup paperSize="9" scale="80" orientation="landscape" r:id="rId1"/>
  <headerFooter alignWithMargins="0"/>
  <rowBreaks count="1" manualBreakCount="1">
    <brk id="4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/>
  <dimension ref="A1:M90"/>
  <sheetViews>
    <sheetView view="pageBreakPreview" topLeftCell="A10" zoomScale="90" zoomScaleSheetLayoutView="90" workbookViewId="0">
      <selection activeCell="B20" sqref="B20"/>
    </sheetView>
  </sheetViews>
  <sheetFormatPr defaultRowHeight="12.75"/>
  <cols>
    <col min="1" max="1" width="53.42578125" customWidth="1"/>
    <col min="2" max="3" width="13.5703125" customWidth="1"/>
    <col min="4" max="4" width="15" customWidth="1"/>
    <col min="5" max="5" width="13" customWidth="1"/>
    <col min="6" max="6" width="13.140625" customWidth="1"/>
    <col min="7" max="7" width="13.140625" style="97" customWidth="1"/>
    <col min="8" max="8" width="17.42578125" style="97" customWidth="1"/>
    <col min="9" max="9" width="30" style="97" customWidth="1"/>
    <col min="11" max="11" width="11.140625" bestFit="1" customWidth="1"/>
    <col min="12" max="13" width="10.7109375" bestFit="1" customWidth="1"/>
  </cols>
  <sheetData>
    <row r="1" spans="1:13" ht="29.25" customHeight="1">
      <c r="G1" s="984"/>
      <c r="H1" s="1575" t="s">
        <v>217</v>
      </c>
      <c r="I1" s="1575"/>
    </row>
    <row r="2" spans="1:13" ht="27" customHeight="1">
      <c r="A2" s="1463" t="s">
        <v>1007</v>
      </c>
      <c r="B2" s="1463"/>
      <c r="C2" s="1463"/>
      <c r="D2" s="1463"/>
      <c r="E2" s="1463"/>
      <c r="F2" s="1463"/>
      <c r="G2" s="1463"/>
      <c r="H2" s="1463"/>
      <c r="I2" s="1463"/>
    </row>
    <row r="3" spans="1:13" ht="15.75" customHeight="1">
      <c r="A3" s="367"/>
      <c r="B3" s="368"/>
      <c r="C3" s="368"/>
      <c r="D3" s="368"/>
      <c r="E3" s="368"/>
      <c r="F3" s="368"/>
      <c r="G3" s="368"/>
      <c r="H3" s="368"/>
    </row>
    <row r="4" spans="1:13" ht="45" customHeight="1">
      <c r="A4" s="941" t="s">
        <v>1011</v>
      </c>
      <c r="B4" s="942">
        <f>C4+G4+H4</f>
        <v>0.99999999999999978</v>
      </c>
      <c r="C4" s="942">
        <f>D4+E4+F4</f>
        <v>0.93288361254629071</v>
      </c>
      <c r="D4" s="965">
        <f>'ЗП_Всього по під-ву'!E28</f>
        <v>0.63011305768372172</v>
      </c>
      <c r="E4" s="965">
        <f>'ЗП_Всього по під-ву'!F28</f>
        <v>0.18028314775954987</v>
      </c>
      <c r="F4" s="965">
        <f>'ЗП_Всього по під-ву'!G28</f>
        <v>0.12248740710301914</v>
      </c>
      <c r="G4" s="965">
        <f>'ЗП_Всього по під-ву'!H28</f>
        <v>3.3558193726854556E-2</v>
      </c>
      <c r="H4" s="965">
        <f>'ЗП_Всього по під-ву'!I28</f>
        <v>3.3558193726854556E-2</v>
      </c>
    </row>
    <row r="5" spans="1:13" ht="28.5" customHeight="1">
      <c r="A5" s="941" t="s">
        <v>671</v>
      </c>
      <c r="B5" s="942">
        <f>SUM(D5:F5)</f>
        <v>1</v>
      </c>
      <c r="C5" s="942"/>
      <c r="D5" s="965">
        <f>Прямі!$D$72</f>
        <v>0.85609607848743829</v>
      </c>
      <c r="E5" s="965">
        <f>Прямі!$E$72</f>
        <v>0.12037307533290731</v>
      </c>
      <c r="F5" s="965">
        <f>Прямі!$F$72</f>
        <v>2.3530846179654386E-2</v>
      </c>
      <c r="G5" s="989"/>
      <c r="H5" s="988"/>
    </row>
    <row r="6" spans="1:13" ht="24" customHeight="1">
      <c r="A6" s="1574" t="s">
        <v>701</v>
      </c>
      <c r="B6" s="1572" t="s">
        <v>351</v>
      </c>
      <c r="C6" s="1572" t="s">
        <v>379</v>
      </c>
      <c r="D6" s="1574" t="s">
        <v>505</v>
      </c>
      <c r="E6" s="1574"/>
      <c r="F6" s="1574"/>
      <c r="G6" s="1534" t="s">
        <v>1</v>
      </c>
      <c r="H6" s="1534" t="s">
        <v>2</v>
      </c>
      <c r="I6" s="1572" t="s">
        <v>670</v>
      </c>
      <c r="J6" s="6"/>
    </row>
    <row r="7" spans="1:13" ht="105" customHeight="1">
      <c r="A7" s="1574"/>
      <c r="B7" s="1572"/>
      <c r="C7" s="1572"/>
      <c r="D7" s="990" t="s">
        <v>712</v>
      </c>
      <c r="E7" s="990" t="s">
        <v>620</v>
      </c>
      <c r="F7" s="990" t="s">
        <v>713</v>
      </c>
      <c r="G7" s="1534"/>
      <c r="H7" s="1534"/>
      <c r="I7" s="1572"/>
      <c r="J7" s="6"/>
    </row>
    <row r="8" spans="1:13" s="3" customFormat="1" ht="30" customHeight="1">
      <c r="A8" s="1362" t="s">
        <v>406</v>
      </c>
      <c r="B8" s="1363">
        <f>B9+B10+B11</f>
        <v>1586.4921927551995</v>
      </c>
      <c r="C8" s="1363">
        <f t="shared" ref="C8:H8" si="0">C9+C10+C11</f>
        <v>1480.012568053957</v>
      </c>
      <c r="D8" s="1363">
        <f t="shared" si="0"/>
        <v>1040.7337513190089</v>
      </c>
      <c r="E8" s="1363">
        <f t="shared" si="0"/>
        <v>269.45097566372294</v>
      </c>
      <c r="F8" s="1363">
        <f t="shared" si="0"/>
        <v>169.82784107122521</v>
      </c>
      <c r="G8" s="1363">
        <f t="shared" si="0"/>
        <v>53.239812350621271</v>
      </c>
      <c r="H8" s="1363">
        <f t="shared" si="0"/>
        <v>53.239812350621271</v>
      </c>
      <c r="I8" s="994"/>
      <c r="J8" s="7"/>
      <c r="K8" s="79"/>
      <c r="L8" s="79"/>
      <c r="M8" s="79"/>
    </row>
    <row r="9" spans="1:13" s="3" customFormat="1" ht="30" customHeight="1">
      <c r="A9" s="1364" t="s">
        <v>1030</v>
      </c>
      <c r="B9" s="579">
        <f>'ЗП_Всього по під-ву'!C12</f>
        <v>1100.6747481599998</v>
      </c>
      <c r="C9" s="579">
        <f>D9+E9+F9</f>
        <v>1026.8014353019794</v>
      </c>
      <c r="D9" s="579">
        <f>$B$9*D4</f>
        <v>693.54953107835786</v>
      </c>
      <c r="E9" s="579">
        <f>$B$9*E4</f>
        <v>198.4331082577346</v>
      </c>
      <c r="F9" s="579">
        <f>$B$9*F4</f>
        <v>134.81879596588698</v>
      </c>
      <c r="G9" s="579">
        <f>$B$9*G4</f>
        <v>36.936656429010121</v>
      </c>
      <c r="H9" s="579">
        <f>$B$9*H4</f>
        <v>36.936656429010121</v>
      </c>
      <c r="I9" s="995" t="s">
        <v>789</v>
      </c>
      <c r="J9" s="7"/>
      <c r="K9" s="79"/>
      <c r="L9" s="79"/>
      <c r="M9" s="79"/>
    </row>
    <row r="10" spans="1:13" s="3" customFormat="1" ht="30" customHeight="1">
      <c r="A10" s="1032" t="s">
        <v>1031</v>
      </c>
      <c r="B10" s="579">
        <f>'ЗП_Всього по під-ву'!C40</f>
        <v>242.14844459519998</v>
      </c>
      <c r="C10" s="579">
        <f>D10+E10+F10</f>
        <v>225.89631576643546</v>
      </c>
      <c r="D10" s="579">
        <f>$B$10*D4</f>
        <v>152.58089683723873</v>
      </c>
      <c r="E10" s="579">
        <f>$B$10*E4</f>
        <v>43.655283816701612</v>
      </c>
      <c r="F10" s="579">
        <f>$B$10*F4</f>
        <v>29.660135112495134</v>
      </c>
      <c r="G10" s="579">
        <f>$B$10*G4</f>
        <v>8.1260644143822276</v>
      </c>
      <c r="H10" s="579">
        <f>$B$10*H4</f>
        <v>8.1260644143822276</v>
      </c>
      <c r="I10" s="995" t="s">
        <v>789</v>
      </c>
      <c r="J10" s="16"/>
      <c r="K10" s="79"/>
      <c r="L10" s="79"/>
      <c r="M10" s="79"/>
    </row>
    <row r="11" spans="1:13" s="3" customFormat="1" ht="30" customHeight="1">
      <c r="A11" s="1365" t="s">
        <v>3</v>
      </c>
      <c r="B11" s="565">
        <f t="shared" ref="B11:H11" si="1">SUM(B20:B23)</f>
        <v>243.66899999999998</v>
      </c>
      <c r="C11" s="565">
        <f t="shared" si="1"/>
        <v>227.31481698554211</v>
      </c>
      <c r="D11" s="565">
        <f t="shared" si="1"/>
        <v>194.60332340341233</v>
      </c>
      <c r="E11" s="565">
        <f t="shared" si="1"/>
        <v>27.362583589286697</v>
      </c>
      <c r="F11" s="565">
        <f t="shared" si="1"/>
        <v>5.3489099928430797</v>
      </c>
      <c r="G11" s="565">
        <f t="shared" si="1"/>
        <v>8.1770915072289228</v>
      </c>
      <c r="H11" s="565">
        <f t="shared" si="1"/>
        <v>8.1770915072289228</v>
      </c>
      <c r="I11" s="995"/>
      <c r="J11" s="16"/>
      <c r="K11" s="79"/>
      <c r="L11" s="79"/>
      <c r="M11" s="79"/>
    </row>
    <row r="12" spans="1:13" s="3" customFormat="1" ht="30" customHeight="1">
      <c r="A12" s="1366" t="s">
        <v>1019</v>
      </c>
      <c r="B12" s="1367">
        <f>'ПММ всього'!M22</f>
        <v>29.23383625</v>
      </c>
      <c r="C12" s="1368">
        <f>B12*$C$4</f>
        <v>27.271766769486707</v>
      </c>
      <c r="D12" s="1368">
        <f>C12*$D$5</f>
        <v>23.347252584781604</v>
      </c>
      <c r="E12" s="1368">
        <f>C12*$E$5</f>
        <v>3.2827864358049017</v>
      </c>
      <c r="F12" s="1368">
        <f>C12*$F$5</f>
        <v>0.64172774890020168</v>
      </c>
      <c r="G12" s="1368">
        <f>B12*$G$4</f>
        <v>0.98103474025664328</v>
      </c>
      <c r="H12" s="1368">
        <f>B12*$H$4</f>
        <v>0.98103474025664328</v>
      </c>
      <c r="I12" s="995" t="s">
        <v>789</v>
      </c>
      <c r="J12" s="7"/>
      <c r="K12" s="79"/>
      <c r="L12" s="79"/>
      <c r="M12" s="79"/>
    </row>
    <row r="13" spans="1:13" s="3" customFormat="1" ht="30" customHeight="1">
      <c r="A13" s="1369" t="s">
        <v>1020</v>
      </c>
      <c r="B13" s="1367">
        <v>183.465</v>
      </c>
      <c r="C13" s="1368">
        <f t="shared" ref="C13:C23" si="2">B13*$C$4</f>
        <v>171.15149197580521</v>
      </c>
      <c r="D13" s="1368">
        <f t="shared" ref="D13:D23" si="3">C13*$D$5</f>
        <v>146.52212110776111</v>
      </c>
      <c r="E13" s="1368">
        <f t="shared" ref="E13:E23" si="4">C13*$E$5</f>
        <v>20.602031436943083</v>
      </c>
      <c r="F13" s="1368">
        <f t="shared" ref="F13:F23" si="5">C13*$F$5</f>
        <v>4.0273394311010247</v>
      </c>
      <c r="G13" s="1368">
        <f t="shared" ref="G13:G23" si="6">B13*$G$4</f>
        <v>6.1567540120973714</v>
      </c>
      <c r="H13" s="1368">
        <f t="shared" ref="H13:H23" si="7">B13*$H$4</f>
        <v>6.1567540120973714</v>
      </c>
      <c r="I13" s="995" t="s">
        <v>352</v>
      </c>
      <c r="J13" s="7"/>
      <c r="K13" s="79"/>
      <c r="L13" s="79"/>
      <c r="M13" s="79"/>
    </row>
    <row r="14" spans="1:13" s="3" customFormat="1" ht="30" customHeight="1">
      <c r="A14" s="1369" t="s">
        <v>353</v>
      </c>
      <c r="B14" s="1367">
        <v>208.41300000000001</v>
      </c>
      <c r="C14" s="1368">
        <f>B14*$C$4</f>
        <v>194.4250723416101</v>
      </c>
      <c r="D14" s="1368">
        <f>C14*$D$5</f>
        <v>166.44654199128891</v>
      </c>
      <c r="E14" s="1368">
        <f>C14*$E$5</f>
        <v>23.403543879582585</v>
      </c>
      <c r="F14" s="1368">
        <f>C14*$F$5</f>
        <v>4.5749864707386036</v>
      </c>
      <c r="G14" s="1368">
        <f>B14*$G$4</f>
        <v>6.9939638291949393</v>
      </c>
      <c r="H14" s="1368">
        <f>B14*$H$4</f>
        <v>6.9939638291949393</v>
      </c>
      <c r="I14" s="995" t="s">
        <v>352</v>
      </c>
      <c r="J14" s="7"/>
      <c r="K14" s="79"/>
      <c r="L14" s="79"/>
      <c r="M14" s="79"/>
    </row>
    <row r="15" spans="1:13" s="36" customFormat="1" ht="47.25" customHeight="1">
      <c r="A15" s="1370" t="s">
        <v>4</v>
      </c>
      <c r="B15" s="1010">
        <f>'Амортизація '!C11</f>
        <v>20.187999999999999</v>
      </c>
      <c r="C15" s="1368">
        <f t="shared" si="2"/>
        <v>18.833054370084515</v>
      </c>
      <c r="D15" s="1368">
        <f t="shared" si="3"/>
        <v>16.122903992170066</v>
      </c>
      <c r="E15" s="1368">
        <f t="shared" si="4"/>
        <v>2.2669926724389224</v>
      </c>
      <c r="F15" s="1368">
        <f t="shared" si="5"/>
        <v>0.44315770547552652</v>
      </c>
      <c r="G15" s="1368">
        <f t="shared" si="6"/>
        <v>0.6774728149577397</v>
      </c>
      <c r="H15" s="1368">
        <f t="shared" si="7"/>
        <v>0.6774728149577397</v>
      </c>
      <c r="I15" s="995" t="s">
        <v>352</v>
      </c>
      <c r="K15" s="79"/>
      <c r="L15" s="79"/>
      <c r="M15" s="79"/>
    </row>
    <row r="16" spans="1:13" s="557" customFormat="1" ht="30.75" customHeight="1">
      <c r="A16" s="1384" t="s">
        <v>688</v>
      </c>
      <c r="B16" s="1012">
        <v>86.74</v>
      </c>
      <c r="C16" s="1367">
        <f t="shared" si="2"/>
        <v>80.918324552265247</v>
      </c>
      <c r="D16" s="1367">
        <f t="shared" si="3"/>
        <v>69.273860326968077</v>
      </c>
      <c r="E16" s="1367">
        <f t="shared" si="4"/>
        <v>9.7403875771424673</v>
      </c>
      <c r="F16" s="1367">
        <f t="shared" si="5"/>
        <v>1.9040766481547045</v>
      </c>
      <c r="G16" s="1367">
        <f t="shared" si="6"/>
        <v>2.9108377238673642</v>
      </c>
      <c r="H16" s="1367">
        <f t="shared" si="7"/>
        <v>2.9108377238673642</v>
      </c>
      <c r="I16" s="1385" t="s">
        <v>1017</v>
      </c>
      <c r="K16" s="1387"/>
      <c r="L16" s="1387"/>
      <c r="M16" s="1387"/>
    </row>
    <row r="17" spans="1:13" s="36" customFormat="1" ht="18" customHeight="1">
      <c r="A17" s="1371" t="s">
        <v>435</v>
      </c>
      <c r="B17" s="1010">
        <f>Вода_Водовід!K19</f>
        <v>16.087499999999999</v>
      </c>
      <c r="C17" s="1368">
        <f t="shared" si="2"/>
        <v>15.007765116838451</v>
      </c>
      <c r="D17" s="1368">
        <f t="shared" si="3"/>
        <v>12.84808886338597</v>
      </c>
      <c r="E17" s="1368">
        <f t="shared" si="4"/>
        <v>1.8065308409877734</v>
      </c>
      <c r="F17" s="1368">
        <f t="shared" si="5"/>
        <v>0.35314541246470843</v>
      </c>
      <c r="G17" s="1368">
        <f t="shared" si="6"/>
        <v>0.5398674415807726</v>
      </c>
      <c r="H17" s="1368">
        <f t="shared" si="7"/>
        <v>0.5398674415807726</v>
      </c>
      <c r="I17" s="995" t="s">
        <v>789</v>
      </c>
      <c r="K17" s="79"/>
      <c r="L17" s="79"/>
      <c r="M17" s="79"/>
    </row>
    <row r="18" spans="1:13" s="36" customFormat="1" ht="15" customHeight="1">
      <c r="A18" s="1371" t="s">
        <v>680</v>
      </c>
      <c r="B18" s="1010">
        <f>Вода_Водовід!K20</f>
        <v>0</v>
      </c>
      <c r="C18" s="1368">
        <f t="shared" si="2"/>
        <v>0</v>
      </c>
      <c r="D18" s="1368">
        <f t="shared" si="3"/>
        <v>0</v>
      </c>
      <c r="E18" s="1368">
        <f t="shared" si="4"/>
        <v>0</v>
      </c>
      <c r="F18" s="1368">
        <f t="shared" si="5"/>
        <v>0</v>
      </c>
      <c r="G18" s="1368">
        <f t="shared" si="6"/>
        <v>0</v>
      </c>
      <c r="H18" s="1368">
        <f t="shared" si="7"/>
        <v>0</v>
      </c>
      <c r="I18" s="995" t="s">
        <v>789</v>
      </c>
      <c r="K18" s="79"/>
      <c r="L18" s="79"/>
      <c r="M18" s="79"/>
    </row>
    <row r="19" spans="1:13" s="36" customFormat="1" ht="20.25" customHeight="1">
      <c r="A19" s="1371" t="s">
        <v>768</v>
      </c>
      <c r="B19" s="1010">
        <f>Електр_енерг!D24</f>
        <v>192.732752</v>
      </c>
      <c r="C19" s="1368">
        <f t="shared" si="2"/>
        <v>179.79722594174834</v>
      </c>
      <c r="D19" s="1368">
        <f t="shared" si="3"/>
        <v>153.92370005165066</v>
      </c>
      <c r="E19" s="1368">
        <f t="shared" si="4"/>
        <v>21.642745022933831</v>
      </c>
      <c r="F19" s="1368">
        <f t="shared" si="5"/>
        <v>4.2307808671638449</v>
      </c>
      <c r="G19" s="1368">
        <f t="shared" si="6"/>
        <v>6.4677630291258152</v>
      </c>
      <c r="H19" s="1368">
        <f t="shared" si="7"/>
        <v>6.4677630291258152</v>
      </c>
      <c r="I19" s="995" t="s">
        <v>789</v>
      </c>
      <c r="K19" s="79"/>
      <c r="L19" s="79"/>
      <c r="M19" s="79"/>
    </row>
    <row r="20" spans="1:13" s="998" customFormat="1" ht="46.5" customHeight="1">
      <c r="A20" s="1384" t="s">
        <v>359</v>
      </c>
      <c r="B20" s="1012">
        <v>188.66</v>
      </c>
      <c r="C20" s="1367">
        <f t="shared" si="2"/>
        <v>175.9978223429832</v>
      </c>
      <c r="D20" s="1367">
        <f t="shared" si="3"/>
        <v>150.67104553015676</v>
      </c>
      <c r="E20" s="1367">
        <f t="shared" si="4"/>
        <v>21.185399127319553</v>
      </c>
      <c r="F20" s="1367">
        <f t="shared" si="5"/>
        <v>4.1413776855068773</v>
      </c>
      <c r="G20" s="1367">
        <f t="shared" si="6"/>
        <v>6.3310888285083804</v>
      </c>
      <c r="H20" s="1367">
        <f t="shared" si="7"/>
        <v>6.3310888285083804</v>
      </c>
      <c r="I20" s="1385" t="s">
        <v>1017</v>
      </c>
      <c r="J20" s="605"/>
      <c r="K20" s="1386"/>
      <c r="L20" s="1386"/>
      <c r="M20" s="1386"/>
    </row>
    <row r="21" spans="1:13" s="118" customFormat="1" ht="26.25" customHeight="1">
      <c r="A21" s="1366" t="s">
        <v>1021</v>
      </c>
      <c r="B21" s="1012">
        <v>0.78</v>
      </c>
      <c r="C21" s="1368">
        <f t="shared" si="2"/>
        <v>0.72764921778610681</v>
      </c>
      <c r="D21" s="1368">
        <f t="shared" si="3"/>
        <v>0.62293764186113798</v>
      </c>
      <c r="E21" s="1368">
        <f t="shared" si="4"/>
        <v>8.7589374108498111E-2</v>
      </c>
      <c r="F21" s="1368">
        <f t="shared" si="5"/>
        <v>1.7122201816470714E-2</v>
      </c>
      <c r="G21" s="1368">
        <f t="shared" si="6"/>
        <v>2.6175391106946555E-2</v>
      </c>
      <c r="H21" s="1368">
        <f t="shared" si="7"/>
        <v>2.6175391106946555E-2</v>
      </c>
      <c r="I21" s="995" t="s">
        <v>352</v>
      </c>
      <c r="J21" s="83"/>
      <c r="K21" s="117"/>
      <c r="L21" s="117"/>
      <c r="M21" s="117"/>
    </row>
    <row r="22" spans="1:13" s="118" customFormat="1" ht="29.25" customHeight="1">
      <c r="A22" s="1372" t="s">
        <v>291</v>
      </c>
      <c r="B22" s="1012">
        <v>1.165</v>
      </c>
      <c r="C22" s="1368">
        <f t="shared" si="2"/>
        <v>1.0868094086164286</v>
      </c>
      <c r="D22" s="1368">
        <f t="shared" si="3"/>
        <v>0.93041327277977648</v>
      </c>
      <c r="E22" s="1368">
        <f t="shared" si="4"/>
        <v>0.13082259081589781</v>
      </c>
      <c r="F22" s="1368">
        <f t="shared" si="5"/>
        <v>2.5573545020754332E-2</v>
      </c>
      <c r="G22" s="1368">
        <f t="shared" si="6"/>
        <v>3.9095295691785562E-2</v>
      </c>
      <c r="H22" s="1368">
        <f t="shared" si="7"/>
        <v>3.9095295691785562E-2</v>
      </c>
      <c r="I22" s="995" t="s">
        <v>352</v>
      </c>
      <c r="J22" s="83"/>
      <c r="K22" s="117"/>
      <c r="L22" s="117"/>
      <c r="M22" s="117"/>
    </row>
    <row r="23" spans="1:13" s="36" customFormat="1" ht="20.25" customHeight="1">
      <c r="A23" s="1373" t="s">
        <v>736</v>
      </c>
      <c r="B23" s="546">
        <v>53.064</v>
      </c>
      <c r="C23" s="1368">
        <f t="shared" si="2"/>
        <v>49.50253601615637</v>
      </c>
      <c r="D23" s="1368">
        <f t="shared" si="3"/>
        <v>42.378926958614642</v>
      </c>
      <c r="E23" s="1368">
        <f t="shared" si="4"/>
        <v>5.958772497042748</v>
      </c>
      <c r="F23" s="1368">
        <f t="shared" si="5"/>
        <v>1.1648365604989768</v>
      </c>
      <c r="G23" s="1368">
        <f t="shared" si="6"/>
        <v>1.7807319919218101</v>
      </c>
      <c r="H23" s="1368">
        <f t="shared" si="7"/>
        <v>1.7807319919218101</v>
      </c>
      <c r="I23" s="995" t="s">
        <v>352</v>
      </c>
      <c r="J23" s="8"/>
      <c r="K23" s="79"/>
      <c r="L23" s="79"/>
      <c r="M23" s="79"/>
    </row>
    <row r="24" spans="1:13" s="3" customFormat="1">
      <c r="A24" s="375"/>
      <c r="B24" s="376"/>
      <c r="C24" s="376"/>
      <c r="D24" s="366"/>
      <c r="E24" s="366"/>
      <c r="F24" s="366"/>
      <c r="G24" s="985"/>
      <c r="H24" s="985"/>
      <c r="I24" s="987"/>
    </row>
    <row r="25" spans="1:13" s="3" customFormat="1">
      <c r="A25" s="377"/>
      <c r="B25" s="377"/>
      <c r="C25" s="377"/>
      <c r="D25" s="377"/>
      <c r="E25" s="377"/>
      <c r="F25" s="377"/>
      <c r="G25" s="377"/>
      <c r="H25" s="377"/>
      <c r="I25" s="987"/>
    </row>
    <row r="26" spans="1:13" s="1031" customFormat="1" ht="15.75">
      <c r="A26" s="1030" t="s">
        <v>368</v>
      </c>
      <c r="B26" s="1030"/>
      <c r="C26" s="1030"/>
      <c r="D26" s="1030"/>
      <c r="E26" s="1030"/>
      <c r="G26" s="1576" t="s">
        <v>370</v>
      </c>
      <c r="H26" s="1576"/>
    </row>
    <row r="27" spans="1:13" s="3" customFormat="1" ht="14.25">
      <c r="A27" s="511"/>
      <c r="B27" s="511"/>
      <c r="C27" s="512"/>
      <c r="D27" s="1573"/>
      <c r="E27" s="1573"/>
      <c r="F27" s="378"/>
      <c r="G27" s="378"/>
      <c r="H27" s="378"/>
      <c r="I27" s="987"/>
    </row>
    <row r="28" spans="1:13" s="3" customFormat="1" ht="14.25">
      <c r="A28" s="345"/>
      <c r="B28" s="345"/>
      <c r="C28" s="345"/>
      <c r="D28" s="379"/>
      <c r="E28" s="345"/>
      <c r="F28" s="380"/>
      <c r="G28" s="380"/>
      <c r="H28" s="380"/>
      <c r="I28" s="987"/>
    </row>
    <row r="29" spans="1:13" s="3" customFormat="1">
      <c r="A29" s="377"/>
      <c r="B29" s="377"/>
      <c r="C29" s="377"/>
      <c r="D29" s="377"/>
      <c r="E29" s="377"/>
      <c r="F29" s="377"/>
      <c r="G29" s="377"/>
      <c r="H29" s="377"/>
      <c r="I29" s="987"/>
    </row>
    <row r="30" spans="1:13" s="3" customFormat="1">
      <c r="A30" s="377"/>
      <c r="B30" s="377"/>
      <c r="C30" s="377"/>
      <c r="D30" s="377"/>
      <c r="E30" s="377"/>
      <c r="F30" s="377"/>
      <c r="G30" s="377"/>
      <c r="H30" s="377"/>
      <c r="I30" s="987"/>
    </row>
    <row r="31" spans="1:13" s="3" customFormat="1">
      <c r="A31" s="377"/>
      <c r="B31" s="346"/>
      <c r="C31" s="346"/>
      <c r="D31" s="346"/>
      <c r="E31" s="346"/>
      <c r="F31" s="346"/>
      <c r="G31" s="986"/>
      <c r="H31" s="986"/>
      <c r="I31" s="987"/>
    </row>
    <row r="32" spans="1:13" s="3" customFormat="1">
      <c r="A32" s="381"/>
      <c r="B32" s="366"/>
      <c r="C32" s="366"/>
      <c r="D32" s="366"/>
      <c r="E32" s="382"/>
      <c r="F32" s="366"/>
      <c r="G32" s="985"/>
      <c r="H32" s="985"/>
      <c r="I32" s="987"/>
    </row>
    <row r="33" spans="1:9" s="3" customFormat="1">
      <c r="A33" s="381"/>
      <c r="B33" s="366"/>
      <c r="C33" s="366"/>
      <c r="D33" s="366"/>
      <c r="E33" s="382"/>
      <c r="F33" s="366"/>
      <c r="G33" s="985"/>
      <c r="H33" s="985"/>
      <c r="I33" s="987"/>
    </row>
    <row r="34" spans="1:9" s="3" customFormat="1">
      <c r="A34" s="383"/>
      <c r="B34" s="346"/>
      <c r="C34" s="346"/>
      <c r="D34" s="366"/>
      <c r="E34" s="382"/>
      <c r="F34" s="346"/>
      <c r="G34" s="986"/>
      <c r="H34" s="986"/>
      <c r="I34" s="987"/>
    </row>
    <row r="35" spans="1:9" s="3" customFormat="1">
      <c r="A35" s="384"/>
      <c r="B35" s="346"/>
      <c r="C35" s="346"/>
      <c r="D35" s="366"/>
      <c r="E35" s="382"/>
      <c r="F35" s="346"/>
      <c r="G35" s="986"/>
      <c r="H35" s="986"/>
      <c r="I35" s="987"/>
    </row>
    <row r="36" spans="1:9" s="3" customFormat="1">
      <c r="A36" s="381"/>
      <c r="B36" s="346"/>
      <c r="C36" s="346"/>
      <c r="D36" s="366"/>
      <c r="E36" s="382"/>
      <c r="F36" s="346"/>
      <c r="G36" s="986"/>
      <c r="H36" s="986"/>
      <c r="I36" s="987"/>
    </row>
    <row r="37" spans="1:9" s="3" customFormat="1">
      <c r="A37" s="29"/>
      <c r="G37" s="987"/>
      <c r="H37" s="987"/>
      <c r="I37" s="987"/>
    </row>
    <row r="38" spans="1:9" s="3" customFormat="1">
      <c r="A38" s="52"/>
      <c r="G38" s="987"/>
      <c r="H38" s="987"/>
      <c r="I38" s="987"/>
    </row>
    <row r="39" spans="1:9" s="3" customFormat="1">
      <c r="A39" s="29"/>
      <c r="G39" s="987"/>
      <c r="H39" s="987"/>
      <c r="I39" s="987"/>
    </row>
    <row r="40" spans="1:9" s="3" customFormat="1">
      <c r="A40" s="29"/>
      <c r="G40" s="987"/>
      <c r="H40" s="987"/>
      <c r="I40" s="987"/>
    </row>
    <row r="41" spans="1:9" s="3" customFormat="1">
      <c r="A41" s="29"/>
      <c r="G41" s="987"/>
      <c r="H41" s="987"/>
      <c r="I41" s="987"/>
    </row>
    <row r="42" spans="1:9" s="3" customFormat="1">
      <c r="G42" s="987"/>
      <c r="H42" s="987"/>
      <c r="I42" s="987"/>
    </row>
    <row r="43" spans="1:9" s="3" customFormat="1">
      <c r="G43" s="987"/>
      <c r="H43" s="987"/>
      <c r="I43" s="987"/>
    </row>
    <row r="44" spans="1:9" s="3" customFormat="1">
      <c r="G44" s="987"/>
      <c r="H44" s="987"/>
      <c r="I44" s="987"/>
    </row>
    <row r="45" spans="1:9" s="3" customFormat="1">
      <c r="G45" s="987"/>
      <c r="H45" s="987"/>
      <c r="I45" s="987"/>
    </row>
    <row r="46" spans="1:9" s="3" customFormat="1">
      <c r="G46" s="987"/>
      <c r="H46" s="987"/>
      <c r="I46" s="987"/>
    </row>
    <row r="47" spans="1:9" s="3" customFormat="1">
      <c r="G47" s="987"/>
      <c r="H47" s="987"/>
      <c r="I47" s="987"/>
    </row>
    <row r="48" spans="1:9" s="3" customFormat="1">
      <c r="G48" s="987"/>
      <c r="H48" s="987"/>
      <c r="I48" s="987"/>
    </row>
    <row r="49" spans="7:9" s="3" customFormat="1">
      <c r="G49" s="987"/>
      <c r="H49" s="987"/>
      <c r="I49" s="987"/>
    </row>
    <row r="50" spans="7:9" s="3" customFormat="1">
      <c r="G50" s="987"/>
      <c r="H50" s="987"/>
      <c r="I50" s="987"/>
    </row>
    <row r="51" spans="7:9" s="3" customFormat="1">
      <c r="G51" s="987"/>
      <c r="H51" s="987"/>
      <c r="I51" s="987"/>
    </row>
    <row r="52" spans="7:9" s="3" customFormat="1">
      <c r="G52" s="987"/>
      <c r="H52" s="987"/>
      <c r="I52" s="987"/>
    </row>
    <row r="53" spans="7:9" s="3" customFormat="1">
      <c r="G53" s="987"/>
      <c r="H53" s="987"/>
      <c r="I53" s="987"/>
    </row>
    <row r="54" spans="7:9" s="3" customFormat="1">
      <c r="G54" s="987"/>
      <c r="H54" s="987"/>
      <c r="I54" s="987"/>
    </row>
    <row r="55" spans="7:9" s="3" customFormat="1">
      <c r="G55" s="987"/>
      <c r="H55" s="987"/>
      <c r="I55" s="987"/>
    </row>
    <row r="56" spans="7:9" s="3" customFormat="1">
      <c r="G56" s="987"/>
      <c r="H56" s="987"/>
      <c r="I56" s="987"/>
    </row>
    <row r="57" spans="7:9" s="3" customFormat="1">
      <c r="G57" s="987"/>
      <c r="H57" s="987"/>
      <c r="I57" s="987"/>
    </row>
    <row r="58" spans="7:9" s="3" customFormat="1">
      <c r="G58" s="987"/>
      <c r="H58" s="987"/>
      <c r="I58" s="987"/>
    </row>
    <row r="59" spans="7:9" s="3" customFormat="1">
      <c r="G59" s="987"/>
      <c r="H59" s="987"/>
      <c r="I59" s="987"/>
    </row>
    <row r="60" spans="7:9" s="3" customFormat="1">
      <c r="G60" s="987"/>
      <c r="H60" s="987"/>
      <c r="I60" s="987"/>
    </row>
    <row r="61" spans="7:9" s="3" customFormat="1">
      <c r="G61" s="987"/>
      <c r="H61" s="987"/>
      <c r="I61" s="987"/>
    </row>
    <row r="62" spans="7:9" s="3" customFormat="1">
      <c r="G62" s="987"/>
      <c r="H62" s="987"/>
      <c r="I62" s="987"/>
    </row>
    <row r="63" spans="7:9" s="3" customFormat="1">
      <c r="G63" s="987"/>
      <c r="H63" s="987"/>
      <c r="I63" s="987"/>
    </row>
    <row r="64" spans="7:9" s="3" customFormat="1">
      <c r="G64" s="987"/>
      <c r="H64" s="987"/>
      <c r="I64" s="987"/>
    </row>
    <row r="65" spans="7:9" s="3" customFormat="1">
      <c r="G65" s="987"/>
      <c r="H65" s="987"/>
      <c r="I65" s="987"/>
    </row>
    <row r="66" spans="7:9" s="3" customFormat="1">
      <c r="G66" s="987"/>
      <c r="H66" s="987"/>
      <c r="I66" s="987"/>
    </row>
    <row r="67" spans="7:9" s="3" customFormat="1">
      <c r="G67" s="987"/>
      <c r="H67" s="987"/>
      <c r="I67" s="987"/>
    </row>
    <row r="68" spans="7:9" s="3" customFormat="1">
      <c r="G68" s="987"/>
      <c r="H68" s="987"/>
      <c r="I68" s="987"/>
    </row>
    <row r="69" spans="7:9" s="3" customFormat="1">
      <c r="G69" s="987"/>
      <c r="H69" s="987"/>
      <c r="I69" s="987"/>
    </row>
    <row r="70" spans="7:9" s="3" customFormat="1">
      <c r="G70" s="987"/>
      <c r="H70" s="987"/>
      <c r="I70" s="987"/>
    </row>
    <row r="71" spans="7:9" s="3" customFormat="1">
      <c r="G71" s="987"/>
      <c r="H71" s="987"/>
      <c r="I71" s="987"/>
    </row>
    <row r="72" spans="7:9" s="3" customFormat="1">
      <c r="G72" s="987"/>
      <c r="H72" s="987"/>
      <c r="I72" s="987"/>
    </row>
    <row r="73" spans="7:9" s="3" customFormat="1">
      <c r="G73" s="987"/>
      <c r="H73" s="987"/>
      <c r="I73" s="987"/>
    </row>
    <row r="74" spans="7:9" s="3" customFormat="1">
      <c r="G74" s="987"/>
      <c r="H74" s="987"/>
      <c r="I74" s="987"/>
    </row>
    <row r="75" spans="7:9" s="3" customFormat="1">
      <c r="G75" s="987"/>
      <c r="H75" s="987"/>
      <c r="I75" s="987"/>
    </row>
    <row r="76" spans="7:9" s="3" customFormat="1">
      <c r="G76" s="987"/>
      <c r="H76" s="987"/>
      <c r="I76" s="987"/>
    </row>
    <row r="77" spans="7:9" s="3" customFormat="1">
      <c r="G77" s="987"/>
      <c r="H77" s="987"/>
      <c r="I77" s="987"/>
    </row>
    <row r="78" spans="7:9" s="3" customFormat="1">
      <c r="G78" s="987"/>
      <c r="H78" s="987"/>
      <c r="I78" s="987"/>
    </row>
    <row r="79" spans="7:9" s="3" customFormat="1">
      <c r="G79" s="987"/>
      <c r="H79" s="987"/>
      <c r="I79" s="987"/>
    </row>
    <row r="80" spans="7:9" s="3" customFormat="1">
      <c r="G80" s="987"/>
      <c r="H80" s="987"/>
      <c r="I80" s="987"/>
    </row>
    <row r="81" spans="7:9" s="3" customFormat="1">
      <c r="G81" s="987"/>
      <c r="H81" s="987"/>
      <c r="I81" s="987"/>
    </row>
    <row r="82" spans="7:9" s="3" customFormat="1">
      <c r="G82" s="987"/>
      <c r="H82" s="987"/>
      <c r="I82" s="987"/>
    </row>
    <row r="83" spans="7:9" s="3" customFormat="1">
      <c r="G83" s="987"/>
      <c r="H83" s="987"/>
      <c r="I83" s="987"/>
    </row>
    <row r="84" spans="7:9" s="3" customFormat="1">
      <c r="G84" s="987"/>
      <c r="H84" s="987"/>
      <c r="I84" s="987"/>
    </row>
    <row r="85" spans="7:9" s="3" customFormat="1">
      <c r="G85" s="987"/>
      <c r="H85" s="987"/>
      <c r="I85" s="987"/>
    </row>
    <row r="86" spans="7:9" s="3" customFormat="1">
      <c r="G86" s="987"/>
      <c r="H86" s="987"/>
      <c r="I86" s="987"/>
    </row>
    <row r="87" spans="7:9" s="3" customFormat="1">
      <c r="G87" s="987"/>
      <c r="H87" s="987"/>
      <c r="I87" s="987"/>
    </row>
    <row r="88" spans="7:9" s="3" customFormat="1">
      <c r="G88" s="987"/>
      <c r="H88" s="987"/>
      <c r="I88" s="987"/>
    </row>
    <row r="89" spans="7:9" s="3" customFormat="1">
      <c r="G89" s="987"/>
      <c r="H89" s="987"/>
      <c r="I89" s="987"/>
    </row>
    <row r="90" spans="7:9" s="3" customFormat="1">
      <c r="G90" s="987"/>
      <c r="H90" s="987"/>
      <c r="I90" s="987"/>
    </row>
  </sheetData>
  <mergeCells count="11">
    <mergeCell ref="H1:I1"/>
    <mergeCell ref="G26:H26"/>
    <mergeCell ref="A2:I2"/>
    <mergeCell ref="G6:G7"/>
    <mergeCell ref="H6:H7"/>
    <mergeCell ref="I6:I7"/>
    <mergeCell ref="D27:E27"/>
    <mergeCell ref="C6:C7"/>
    <mergeCell ref="A6:A7"/>
    <mergeCell ref="B6:B7"/>
    <mergeCell ref="D6:F6"/>
  </mergeCells>
  <phoneticPr fontId="0" type="noConversion"/>
  <conditionalFormatting sqref="D7">
    <cfRule type="expression" dxfId="9" priority="4" stopIfTrue="1">
      <formula>ABS(#REF!-($E7+$F7+#REF!+#REF!))&gt;отклонение</formula>
    </cfRule>
  </conditionalFormatting>
  <conditionalFormatting sqref="D24:H24 D31:H38">
    <cfRule type="expression" dxfId="8" priority="62" stopIfTrue="1">
      <formula>ABS($B24-($D24+$E24+$F24+#REF!))&gt;отклонение</formula>
    </cfRule>
  </conditionalFormatting>
  <conditionalFormatting sqref="E7:F7">
    <cfRule type="expression" dxfId="7" priority="63" stopIfTrue="1">
      <formula>ABS(#REF!-($I6+#REF!+#REF!+#REF!))&gt;отклонение</formula>
    </cfRule>
  </conditionalFormatting>
  <pageMargins left="1.1811023622047245" right="0.39370078740157483" top="0.39370078740157483" bottom="0.39370078740157483" header="0.31496062992125984" footer="0.51181102362204722"/>
  <pageSetup paperSize="9" scale="47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/>
  <dimension ref="A1:P36"/>
  <sheetViews>
    <sheetView zoomScale="75" zoomScaleNormal="75" zoomScaleSheetLayoutView="80" workbookViewId="0">
      <selection activeCell="I29" sqref="I29:J29"/>
    </sheetView>
  </sheetViews>
  <sheetFormatPr defaultRowHeight="12.75"/>
  <cols>
    <col min="1" max="1" width="49.140625" style="97" customWidth="1"/>
    <col min="2" max="2" width="11.7109375" style="97" hidden="1" customWidth="1"/>
    <col min="3" max="3" width="16.28515625" style="97" customWidth="1"/>
    <col min="4" max="4" width="13.28515625" style="97" customWidth="1"/>
    <col min="5" max="5" width="15.5703125" style="97" customWidth="1"/>
    <col min="6" max="6" width="14.28515625" style="97" customWidth="1"/>
    <col min="7" max="9" width="15" style="97" customWidth="1"/>
    <col min="10" max="10" width="32.7109375" style="97" customWidth="1"/>
    <col min="11" max="11" width="12.7109375" style="1316" customWidth="1"/>
    <col min="12" max="12" width="11.42578125" style="559" bestFit="1" customWidth="1"/>
    <col min="13" max="15" width="10.28515625" style="559" bestFit="1" customWidth="1"/>
    <col min="16" max="16" width="9.140625" style="559"/>
  </cols>
  <sheetData>
    <row r="1" spans="1:16" ht="29.25" customHeight="1">
      <c r="J1" s="1374" t="s">
        <v>219</v>
      </c>
    </row>
    <row r="2" spans="1:16" s="6" customFormat="1" ht="33" customHeight="1">
      <c r="A2" s="1463" t="s">
        <v>1008</v>
      </c>
      <c r="B2" s="1463"/>
      <c r="C2" s="1463"/>
      <c r="D2" s="1463"/>
      <c r="E2" s="1463"/>
      <c r="F2" s="1463"/>
      <c r="G2" s="1578"/>
      <c r="H2" s="1578"/>
      <c r="I2" s="1578"/>
      <c r="J2" s="1578"/>
      <c r="K2" s="1317"/>
      <c r="L2" s="1318"/>
      <c r="M2" s="593"/>
      <c r="N2" s="593"/>
      <c r="O2" s="593"/>
      <c r="P2" s="593"/>
    </row>
    <row r="3" spans="1:16" s="6" customFormat="1" ht="13.5" customHeight="1">
      <c r="A3" s="1580"/>
      <c r="B3" s="1580"/>
      <c r="C3" s="1580"/>
      <c r="D3" s="1580"/>
      <c r="E3" s="1580"/>
      <c r="F3" s="1580"/>
      <c r="G3" s="1580"/>
      <c r="H3" s="983"/>
      <c r="I3" s="983"/>
      <c r="J3" s="385"/>
      <c r="K3" s="1317"/>
      <c r="L3" s="1318"/>
      <c r="M3" s="593"/>
      <c r="N3" s="593"/>
      <c r="O3" s="593"/>
      <c r="P3" s="593"/>
    </row>
    <row r="4" spans="1:16" s="6" customFormat="1" ht="41.25" customHeight="1">
      <c r="A4" s="941" t="s">
        <v>1010</v>
      </c>
      <c r="B4" s="992"/>
      <c r="C4" s="942">
        <f>D4+H4+I4</f>
        <v>0.99999999999999978</v>
      </c>
      <c r="D4" s="942">
        <f>E4+F4+G4</f>
        <v>0.93288361254629071</v>
      </c>
      <c r="E4" s="965">
        <f>'ЗП_Всього по під-ву'!E28</f>
        <v>0.63011305768372172</v>
      </c>
      <c r="F4" s="965">
        <f>'ЗП_Всього по під-ву'!F28</f>
        <v>0.18028314775954987</v>
      </c>
      <c r="G4" s="965">
        <f>'ЗП_Всього по під-ву'!G28</f>
        <v>0.12248740710301914</v>
      </c>
      <c r="H4" s="965">
        <f>'ЗП_Всього по під-ву'!H28</f>
        <v>3.3558193726854556E-2</v>
      </c>
      <c r="I4" s="965">
        <f>'ЗП_Всього по під-ву'!I28</f>
        <v>3.3558193726854556E-2</v>
      </c>
      <c r="J4" s="386"/>
      <c r="K4" s="1317"/>
      <c r="L4" s="1318"/>
      <c r="M4" s="593"/>
      <c r="N4" s="593"/>
      <c r="O4" s="593"/>
      <c r="P4" s="593"/>
    </row>
    <row r="5" spans="1:16" s="6" customFormat="1" ht="30" customHeight="1" thickBot="1">
      <c r="A5" s="941" t="s">
        <v>1009</v>
      </c>
      <c r="B5" s="992"/>
      <c r="C5" s="942">
        <f>SUM(E5:G5)</f>
        <v>1</v>
      </c>
      <c r="D5" s="942"/>
      <c r="E5" s="988">
        <f>Прямі!$D$72</f>
        <v>0.85609607848743829</v>
      </c>
      <c r="F5" s="988">
        <f>Прямі!$E$72</f>
        <v>0.12037307533290731</v>
      </c>
      <c r="G5" s="988">
        <f>Прямі!$F$72</f>
        <v>2.3530846179654386E-2</v>
      </c>
      <c r="H5" s="965"/>
      <c r="I5" s="965"/>
      <c r="J5" s="387"/>
      <c r="K5" s="1317"/>
      <c r="L5" s="1318"/>
      <c r="M5" s="593"/>
      <c r="N5" s="593"/>
      <c r="O5" s="593"/>
      <c r="P5" s="593"/>
    </row>
    <row r="6" spans="1:16" ht="29.25" customHeight="1">
      <c r="A6" s="1574" t="s">
        <v>701</v>
      </c>
      <c r="B6" s="1572" t="s">
        <v>645</v>
      </c>
      <c r="C6" s="1572" t="s">
        <v>351</v>
      </c>
      <c r="D6" s="1572" t="s">
        <v>379</v>
      </c>
      <c r="E6" s="1574" t="s">
        <v>505</v>
      </c>
      <c r="F6" s="1574"/>
      <c r="G6" s="1574"/>
      <c r="H6" s="1526" t="s">
        <v>1</v>
      </c>
      <c r="I6" s="1526" t="s">
        <v>2</v>
      </c>
      <c r="J6" s="1581" t="s">
        <v>670</v>
      </c>
      <c r="K6" s="1319"/>
      <c r="L6" s="556"/>
    </row>
    <row r="7" spans="1:16" ht="108.75" customHeight="1">
      <c r="A7" s="1574"/>
      <c r="B7" s="1572"/>
      <c r="C7" s="1572"/>
      <c r="D7" s="1572"/>
      <c r="E7" s="990" t="s">
        <v>427</v>
      </c>
      <c r="F7" s="990" t="s">
        <v>428</v>
      </c>
      <c r="G7" s="990" t="s">
        <v>713</v>
      </c>
      <c r="H7" s="1526"/>
      <c r="I7" s="1526"/>
      <c r="J7" s="1582"/>
      <c r="K7" s="1319"/>
      <c r="L7" s="556"/>
    </row>
    <row r="8" spans="1:16" s="3" customFormat="1" ht="30" customHeight="1">
      <c r="A8" s="1021" t="s">
        <v>489</v>
      </c>
      <c r="B8" s="1005"/>
      <c r="C8" s="1006">
        <f>C9+C10+C11</f>
        <v>1678.320796386</v>
      </c>
      <c r="D8" s="1006">
        <f t="shared" ref="D8:I8" si="0">D9+D10+D11</f>
        <v>1561.1907063133135</v>
      </c>
      <c r="E8" s="1006">
        <f t="shared" si="0"/>
        <v>1125.9012196031613</v>
      </c>
      <c r="F8" s="1006">
        <f t="shared" si="0"/>
        <v>272.9003141104929</v>
      </c>
      <c r="G8" s="1006">
        <f t="shared" si="0"/>
        <v>162.38917259965947</v>
      </c>
      <c r="H8" s="1029">
        <f t="shared" si="0"/>
        <v>58.56504503634315</v>
      </c>
      <c r="I8" s="1029">
        <f t="shared" si="0"/>
        <v>58.56504503634315</v>
      </c>
      <c r="J8" s="398"/>
      <c r="K8" s="996"/>
      <c r="L8" s="996"/>
      <c r="M8" s="999"/>
      <c r="N8" s="999"/>
      <c r="O8" s="999"/>
      <c r="P8" s="559"/>
    </row>
    <row r="9" spans="1:16" s="3" customFormat="1" ht="30" customHeight="1">
      <c r="A9" s="1025" t="s">
        <v>1030</v>
      </c>
      <c r="B9" s="587"/>
      <c r="C9" s="1026">
        <f>'ЗП_Всього по під-ву'!C16</f>
        <v>1249.8329088</v>
      </c>
      <c r="D9" s="1026">
        <f>'ЗП_Всього по під-ву'!D16</f>
        <v>1165.9486390405827</v>
      </c>
      <c r="E9" s="1026">
        <f>'ЗП_Всього по під-ву'!E16</f>
        <v>787.53603575770819</v>
      </c>
      <c r="F9" s="1026">
        <f>'ЗП_Всього по під-ву'!F16</f>
        <v>225.32381097193843</v>
      </c>
      <c r="G9" s="1026">
        <f>'ЗП_Всього по під-ву'!G16</f>
        <v>153.08879231093621</v>
      </c>
      <c r="H9" s="1026">
        <f>'ЗП_Всього по під-ву'!H16</f>
        <v>41.942134879708547</v>
      </c>
      <c r="I9" s="1026">
        <f>'ЗП_Всього по під-ву'!I16</f>
        <v>41.942134879708547</v>
      </c>
      <c r="J9" s="1000" t="s">
        <v>789</v>
      </c>
      <c r="K9" s="996"/>
      <c r="L9" s="996"/>
      <c r="M9" s="999"/>
      <c r="N9" s="999"/>
      <c r="O9" s="999"/>
      <c r="P9" s="559"/>
    </row>
    <row r="10" spans="1:16" s="3" customFormat="1" ht="30" customHeight="1">
      <c r="A10" s="1027" t="s">
        <v>1031</v>
      </c>
      <c r="B10" s="587"/>
      <c r="C10" s="1028">
        <f>'ЗП_Всього по під-ву'!C43</f>
        <v>208.105332336</v>
      </c>
      <c r="D10" s="1026">
        <f>C10-H10-I10</f>
        <v>189.65079298892823</v>
      </c>
      <c r="E10" s="1028">
        <f>D10*E5</f>
        <v>162.35930015985443</v>
      </c>
      <c r="F10" s="1028">
        <f>D10*F5</f>
        <v>22.828849191401869</v>
      </c>
      <c r="G10" s="1028">
        <f>D10*G5</f>
        <v>4.4626436376719463</v>
      </c>
      <c r="H10" s="1028">
        <f>H9*22%</f>
        <v>9.227269673535881</v>
      </c>
      <c r="I10" s="1028">
        <f>I9*22%</f>
        <v>9.227269673535881</v>
      </c>
      <c r="J10" s="1000" t="s">
        <v>789</v>
      </c>
      <c r="K10" s="996"/>
      <c r="L10" s="996"/>
      <c r="M10" s="999"/>
      <c r="N10" s="999"/>
      <c r="O10" s="999"/>
      <c r="P10" s="559"/>
    </row>
    <row r="11" spans="1:16" s="559" customFormat="1" ht="28.5" customHeight="1">
      <c r="A11" s="1323" t="s">
        <v>3</v>
      </c>
      <c r="B11" s="587"/>
      <c r="C11" s="579">
        <f>SUM(C12:C27)</f>
        <v>220.38255524999997</v>
      </c>
      <c r="D11" s="579">
        <f t="shared" ref="D11:I11" si="1">SUM(D12:D27)</f>
        <v>205.59127428380253</v>
      </c>
      <c r="E11" s="579">
        <f t="shared" si="1"/>
        <v>176.0058836855986</v>
      </c>
      <c r="F11" s="579">
        <f t="shared" si="1"/>
        <v>24.747653947152571</v>
      </c>
      <c r="G11" s="579">
        <f t="shared" si="1"/>
        <v>4.8377366510512916</v>
      </c>
      <c r="H11" s="579">
        <f t="shared" si="1"/>
        <v>7.3956404830987266</v>
      </c>
      <c r="I11" s="579">
        <f t="shared" si="1"/>
        <v>7.3956404830987266</v>
      </c>
      <c r="J11" s="1322"/>
      <c r="K11" s="996"/>
      <c r="L11" s="996"/>
      <c r="M11" s="999"/>
      <c r="N11" s="999"/>
      <c r="O11" s="999"/>
    </row>
    <row r="12" spans="1:16" s="559" customFormat="1" ht="30" customHeight="1">
      <c r="A12" s="1022" t="s">
        <v>1022</v>
      </c>
      <c r="B12" s="1007"/>
      <c r="C12" s="1008">
        <f>'ПММ всього'!M23</f>
        <v>42.511811250000001</v>
      </c>
      <c r="D12" s="1008">
        <f>$C$12*D4</f>
        <v>39.658572054786042</v>
      </c>
      <c r="E12" s="1008">
        <f>D12*E5</f>
        <v>33.95154801451384</v>
      </c>
      <c r="F12" s="1008">
        <f>D12*F5</f>
        <v>4.7738242815462932</v>
      </c>
      <c r="G12" s="1008">
        <f>D12*G5</f>
        <v>0.93319975872591032</v>
      </c>
      <c r="H12" s="1008">
        <f>$C$12*H4</f>
        <v>1.4266195976069749</v>
      </c>
      <c r="I12" s="1008">
        <f>$C$12*I4</f>
        <v>1.4266195976069749</v>
      </c>
      <c r="J12" s="1004" t="s">
        <v>789</v>
      </c>
      <c r="K12" s="996"/>
      <c r="L12" s="996"/>
      <c r="M12" s="999"/>
      <c r="N12" s="999"/>
      <c r="O12" s="999"/>
    </row>
    <row r="13" spans="1:16" s="998" customFormat="1" ht="30" customHeight="1">
      <c r="A13" s="1022" t="s">
        <v>1023</v>
      </c>
      <c r="B13" s="1009"/>
      <c r="C13" s="1008">
        <v>39.14</v>
      </c>
      <c r="D13" s="1008">
        <f>$C$13*D4</f>
        <v>36.51306459506182</v>
      </c>
      <c r="E13" s="1008">
        <f>D13*E5</f>
        <v>31.258691413390949</v>
      </c>
      <c r="F13" s="1008">
        <f>D13*F5</f>
        <v>4.3951898751366869</v>
      </c>
      <c r="G13" s="1008">
        <f>D13*G5</f>
        <v>0.85918330653418429</v>
      </c>
      <c r="H13" s="1008">
        <f>$C$13*H4</f>
        <v>1.3134677024690873</v>
      </c>
      <c r="I13" s="1008">
        <f>$C$13*I4</f>
        <v>1.3134677024690873</v>
      </c>
      <c r="J13" s="1315" t="s">
        <v>354</v>
      </c>
      <c r="K13" s="996"/>
      <c r="L13" s="996"/>
      <c r="M13" s="997"/>
      <c r="N13" s="997"/>
      <c r="O13" s="997"/>
    </row>
    <row r="14" spans="1:16" s="559" customFormat="1" ht="48" customHeight="1">
      <c r="A14" s="1324" t="s">
        <v>0</v>
      </c>
      <c r="B14" s="1325"/>
      <c r="C14" s="1012">
        <f>'Амортизація '!C12</f>
        <v>21.114999999999998</v>
      </c>
      <c r="D14" s="1012">
        <f>C14*D4</f>
        <v>19.697837478914927</v>
      </c>
      <c r="E14" s="1012">
        <f>D14*E5</f>
        <v>16.863241420381957</v>
      </c>
      <c r="F14" s="1012">
        <f>D14*F5</f>
        <v>2.3710892747447914</v>
      </c>
      <c r="G14" s="1012">
        <f>D14*G5</f>
        <v>0.46350678378817828</v>
      </c>
      <c r="H14" s="1013">
        <f>C14*H4</f>
        <v>0.7085812605425339</v>
      </c>
      <c r="I14" s="1013">
        <f>C14*I4</f>
        <v>0.7085812605425339</v>
      </c>
      <c r="J14" s="1315" t="s">
        <v>354</v>
      </c>
      <c r="K14" s="996"/>
      <c r="L14" s="996"/>
      <c r="M14" s="999"/>
      <c r="N14" s="999"/>
      <c r="O14" s="999"/>
    </row>
    <row r="15" spans="1:16" s="559" customFormat="1" ht="48" customHeight="1">
      <c r="A15" s="1324" t="s">
        <v>355</v>
      </c>
      <c r="B15" s="1325"/>
      <c r="C15" s="1012">
        <v>9.2260000000000009</v>
      </c>
      <c r="D15" s="1012">
        <f>C15*D4</f>
        <v>8.6067842093520781</v>
      </c>
      <c r="E15" s="1012">
        <f>D15*E5</f>
        <v>7.3682342100139211</v>
      </c>
      <c r="F15" s="1012">
        <f>D15*F5</f>
        <v>1.0360250840064147</v>
      </c>
      <c r="G15" s="1012">
        <f>D15*G5</f>
        <v>0.20252491533174205</v>
      </c>
      <c r="H15" s="1012">
        <f>C15*H4</f>
        <v>0.30960789532396016</v>
      </c>
      <c r="I15" s="1012">
        <f>C15*I4</f>
        <v>0.30960789532396016</v>
      </c>
      <c r="J15" s="1315" t="s">
        <v>354</v>
      </c>
      <c r="K15" s="996"/>
      <c r="L15" s="996"/>
      <c r="M15" s="999"/>
      <c r="N15" s="999"/>
      <c r="O15" s="999"/>
    </row>
    <row r="16" spans="1:16" s="559" customFormat="1" ht="30" customHeight="1">
      <c r="A16" s="1020" t="s">
        <v>1029</v>
      </c>
      <c r="B16" s="1011"/>
      <c r="C16" s="1012">
        <f>Електр_енерг!D28</f>
        <v>9.6997440000000008</v>
      </c>
      <c r="D16" s="1012">
        <f>C16*D4</f>
        <v>9.0487322234942091</v>
      </c>
      <c r="E16" s="1012">
        <f>D16*E5</f>
        <v>7.7465841718163109</v>
      </c>
      <c r="F16" s="1012">
        <f>D16*F5</f>
        <v>1.0892237256059742</v>
      </c>
      <c r="G16" s="1012">
        <f>D16*G5</f>
        <v>0.21292432607192424</v>
      </c>
      <c r="H16" s="1013">
        <f>C16*H4</f>
        <v>0.32550588825289517</v>
      </c>
      <c r="I16" s="1013">
        <f>C16*I4</f>
        <v>0.32550588825289517</v>
      </c>
      <c r="J16" s="1004" t="s">
        <v>789</v>
      </c>
      <c r="K16" s="996"/>
      <c r="L16" s="996"/>
      <c r="M16" s="999"/>
      <c r="N16" s="999"/>
      <c r="O16" s="999"/>
    </row>
    <row r="17" spans="1:16" s="714" customFormat="1" ht="30" customHeight="1">
      <c r="A17" s="1014" t="s">
        <v>1018</v>
      </c>
      <c r="B17" s="1011"/>
      <c r="C17" s="1012">
        <v>6</v>
      </c>
      <c r="D17" s="1008">
        <f>C17*$D$4</f>
        <v>5.5973016752777447</v>
      </c>
      <c r="E17" s="1008">
        <f>D17*$E$5</f>
        <v>4.7918280143164456</v>
      </c>
      <c r="F17" s="1008">
        <f>D17*$F$5</f>
        <v>0.67376441621921623</v>
      </c>
      <c r="G17" s="1008">
        <f>D17*$G$5</f>
        <v>0.13170924474208243</v>
      </c>
      <c r="H17" s="1008">
        <f>C17*$H$4</f>
        <v>0.20134916236112732</v>
      </c>
      <c r="I17" s="1008">
        <f>C17*$I$4</f>
        <v>0.20134916236112732</v>
      </c>
      <c r="J17" s="1004" t="s">
        <v>1027</v>
      </c>
      <c r="K17" s="996"/>
      <c r="L17" s="996"/>
      <c r="M17" s="1320"/>
      <c r="N17" s="1320"/>
      <c r="O17" s="1320"/>
    </row>
    <row r="18" spans="1:16" s="714" customFormat="1" ht="30" customHeight="1">
      <c r="A18" s="1014" t="s">
        <v>1026</v>
      </c>
      <c r="B18" s="1011"/>
      <c r="C18" s="1012">
        <v>0</v>
      </c>
      <c r="D18" s="1008">
        <f t="shared" ref="D18:D27" si="2">C18*$D$4</f>
        <v>0</v>
      </c>
      <c r="E18" s="1008">
        <f t="shared" ref="E18:E27" si="3">D18*$E$5</f>
        <v>0</v>
      </c>
      <c r="F18" s="1008">
        <f t="shared" ref="F18:F27" si="4">D18*$F$5</f>
        <v>0</v>
      </c>
      <c r="G18" s="1008">
        <f t="shared" ref="G18:G27" si="5">D18*$G$5</f>
        <v>0</v>
      </c>
      <c r="H18" s="1008">
        <f t="shared" ref="H18:H27" si="6">C18*$H$4</f>
        <v>0</v>
      </c>
      <c r="I18" s="1008">
        <f t="shared" ref="I18:I27" si="7">C18*$I$4</f>
        <v>0</v>
      </c>
      <c r="J18" s="1004" t="s">
        <v>1028</v>
      </c>
      <c r="K18" s="996"/>
      <c r="L18" s="996"/>
      <c r="M18" s="1320"/>
      <c r="N18" s="1320"/>
      <c r="O18" s="1320"/>
    </row>
    <row r="19" spans="1:16" s="714" customFormat="1" ht="30" customHeight="1">
      <c r="A19" s="1014" t="s">
        <v>356</v>
      </c>
      <c r="B19" s="1011"/>
      <c r="C19" s="1012">
        <v>3.5</v>
      </c>
      <c r="D19" s="1008">
        <f>C19*$D$4</f>
        <v>3.2650926439120176</v>
      </c>
      <c r="E19" s="1008">
        <f>D19*$E$5</f>
        <v>2.7952330083512602</v>
      </c>
      <c r="F19" s="1008">
        <f>D19*$F$5</f>
        <v>0.39302924279454277</v>
      </c>
      <c r="G19" s="1008">
        <f>D19*$G$5</f>
        <v>7.6830392766214742E-2</v>
      </c>
      <c r="H19" s="1008">
        <f>C19*$H$4</f>
        <v>0.11745367804399094</v>
      </c>
      <c r="I19" s="1008">
        <f>C19*$I$4</f>
        <v>0.11745367804399094</v>
      </c>
      <c r="J19" s="1315" t="s">
        <v>354</v>
      </c>
      <c r="K19" s="996"/>
      <c r="L19" s="996"/>
      <c r="M19" s="1320"/>
      <c r="N19" s="1320"/>
      <c r="O19" s="1320"/>
    </row>
    <row r="20" spans="1:16" s="998" customFormat="1" ht="30" customHeight="1">
      <c r="A20" s="1014" t="s">
        <v>813</v>
      </c>
      <c r="B20" s="1013"/>
      <c r="C20" s="1012">
        <v>29.239000000000001</v>
      </c>
      <c r="D20" s="1008">
        <f t="shared" si="2"/>
        <v>27.276583947240994</v>
      </c>
      <c r="E20" s="1008">
        <f t="shared" si="3"/>
        <v>23.351376551766425</v>
      </c>
      <c r="F20" s="1008">
        <f t="shared" si="4"/>
        <v>3.2833662943056101</v>
      </c>
      <c r="G20" s="1008">
        <f t="shared" si="5"/>
        <v>0.64184110116895787</v>
      </c>
      <c r="H20" s="1008">
        <f t="shared" si="6"/>
        <v>0.98120802637950033</v>
      </c>
      <c r="I20" s="1008">
        <f t="shared" si="7"/>
        <v>0.98120802637950033</v>
      </c>
      <c r="J20" s="1315" t="s">
        <v>354</v>
      </c>
      <c r="K20" s="996"/>
      <c r="L20" s="996"/>
      <c r="M20" s="997"/>
      <c r="N20" s="997"/>
      <c r="O20" s="997"/>
    </row>
    <row r="21" spans="1:16" s="998" customFormat="1" ht="30" customHeight="1">
      <c r="A21" s="1015" t="s">
        <v>814</v>
      </c>
      <c r="B21" s="1016"/>
      <c r="C21" s="1017">
        <v>7.4950000000000001</v>
      </c>
      <c r="D21" s="1008">
        <f t="shared" si="2"/>
        <v>6.9919626760344489</v>
      </c>
      <c r="E21" s="1008">
        <f t="shared" si="3"/>
        <v>5.9857918278836264</v>
      </c>
      <c r="F21" s="1008">
        <f t="shared" si="4"/>
        <v>0.8416440499271709</v>
      </c>
      <c r="G21" s="1008">
        <f t="shared" si="5"/>
        <v>0.16452679822365127</v>
      </c>
      <c r="H21" s="1008">
        <f t="shared" si="6"/>
        <v>0.25151866198277489</v>
      </c>
      <c r="I21" s="1008">
        <f t="shared" si="7"/>
        <v>0.25151866198277489</v>
      </c>
      <c r="J21" s="1315" t="s">
        <v>354</v>
      </c>
      <c r="K21" s="996"/>
      <c r="L21" s="996"/>
      <c r="M21" s="997"/>
      <c r="N21" s="997"/>
      <c r="O21" s="997"/>
    </row>
    <row r="22" spans="1:16" s="998" customFormat="1" ht="33.75" customHeight="1">
      <c r="A22" s="1014" t="s">
        <v>357</v>
      </c>
      <c r="B22" s="1011"/>
      <c r="C22" s="1012">
        <v>10.651999999999999</v>
      </c>
      <c r="D22" s="1008">
        <f t="shared" si="2"/>
        <v>9.937076240843087</v>
      </c>
      <c r="E22" s="1008">
        <f t="shared" si="3"/>
        <v>8.5070920014164617</v>
      </c>
      <c r="F22" s="1008">
        <f t="shared" si="4"/>
        <v>1.1961564269278482</v>
      </c>
      <c r="G22" s="1008">
        <f t="shared" si="5"/>
        <v>0.23382781249877693</v>
      </c>
      <c r="H22" s="1008">
        <f t="shared" si="6"/>
        <v>0.35746187957845471</v>
      </c>
      <c r="I22" s="1008">
        <f t="shared" si="7"/>
        <v>0.35746187957845471</v>
      </c>
      <c r="J22" s="1315" t="s">
        <v>354</v>
      </c>
      <c r="K22" s="996"/>
      <c r="L22" s="996"/>
      <c r="M22" s="997"/>
      <c r="N22" s="997"/>
      <c r="O22" s="997"/>
    </row>
    <row r="23" spans="1:16" s="998" customFormat="1" ht="33.75" customHeight="1">
      <c r="A23" s="1014" t="s">
        <v>358</v>
      </c>
      <c r="B23" s="1011"/>
      <c r="C23" s="1012">
        <v>5.7539999999999996</v>
      </c>
      <c r="D23" s="1008">
        <f t="shared" si="2"/>
        <v>5.3678123065913566</v>
      </c>
      <c r="E23" s="1008">
        <f t="shared" si="3"/>
        <v>4.5953630657294715</v>
      </c>
      <c r="F23" s="1008">
        <f t="shared" si="4"/>
        <v>0.64614007515422833</v>
      </c>
      <c r="G23" s="1008">
        <f t="shared" si="5"/>
        <v>0.12630916570765702</v>
      </c>
      <c r="H23" s="1008">
        <f t="shared" si="6"/>
        <v>0.19309384670432109</v>
      </c>
      <c r="I23" s="1008">
        <f t="shared" si="7"/>
        <v>0.19309384670432109</v>
      </c>
      <c r="J23" s="1315" t="s">
        <v>354</v>
      </c>
      <c r="K23" s="996"/>
      <c r="L23" s="996"/>
      <c r="M23" s="997"/>
      <c r="N23" s="997"/>
      <c r="O23" s="997"/>
    </row>
    <row r="24" spans="1:16" s="998" customFormat="1" ht="30" customHeight="1">
      <c r="A24" s="1018" t="s">
        <v>433</v>
      </c>
      <c r="B24" s="1011"/>
      <c r="C24" s="1012">
        <v>22.54</v>
      </c>
      <c r="D24" s="1008">
        <f t="shared" si="2"/>
        <v>21.027196626793391</v>
      </c>
      <c r="E24" s="1008">
        <f t="shared" si="3"/>
        <v>18.001300573782114</v>
      </c>
      <c r="F24" s="1008">
        <f t="shared" si="4"/>
        <v>2.5311083235968552</v>
      </c>
      <c r="G24" s="1008">
        <f t="shared" si="5"/>
        <v>0.49478772941442284</v>
      </c>
      <c r="H24" s="1008">
        <f t="shared" si="6"/>
        <v>0.75640168660330165</v>
      </c>
      <c r="I24" s="1008">
        <f t="shared" si="7"/>
        <v>0.75640168660330165</v>
      </c>
      <c r="J24" s="1315" t="s">
        <v>354</v>
      </c>
      <c r="K24" s="996"/>
      <c r="L24" s="996"/>
      <c r="M24" s="997"/>
      <c r="N24" s="997"/>
      <c r="O24" s="997"/>
    </row>
    <row r="25" spans="1:16" s="998" customFormat="1" ht="30" customHeight="1">
      <c r="A25" s="1019" t="s">
        <v>291</v>
      </c>
      <c r="B25" s="1011"/>
      <c r="C25" s="1012">
        <v>4.2949999999999999</v>
      </c>
      <c r="D25" s="1008">
        <f t="shared" si="2"/>
        <v>4.0067351158863183</v>
      </c>
      <c r="E25" s="1008">
        <f t="shared" si="3"/>
        <v>3.4301502202481888</v>
      </c>
      <c r="F25" s="1008">
        <f t="shared" si="4"/>
        <v>0.48230302794358887</v>
      </c>
      <c r="G25" s="1008">
        <f t="shared" si="5"/>
        <v>9.4281867694540653E-2</v>
      </c>
      <c r="H25" s="1008">
        <f t="shared" si="6"/>
        <v>0.14413244205684031</v>
      </c>
      <c r="I25" s="1008">
        <f t="shared" si="7"/>
        <v>0.14413244205684031</v>
      </c>
      <c r="J25" s="1315" t="s">
        <v>354</v>
      </c>
      <c r="K25" s="996"/>
      <c r="L25" s="996"/>
      <c r="M25" s="997"/>
      <c r="N25" s="997"/>
      <c r="O25" s="997"/>
    </row>
    <row r="26" spans="1:16" s="998" customFormat="1" ht="56.25" customHeight="1">
      <c r="A26" s="1019" t="s">
        <v>290</v>
      </c>
      <c r="B26" s="1011"/>
      <c r="C26" s="1012">
        <v>6.335</v>
      </c>
      <c r="D26" s="1008">
        <f t="shared" si="2"/>
        <v>5.9098176854807516</v>
      </c>
      <c r="E26" s="1008">
        <f t="shared" si="3"/>
        <v>5.0593717451157803</v>
      </c>
      <c r="F26" s="1008">
        <f t="shared" si="4"/>
        <v>0.71138292945812243</v>
      </c>
      <c r="G26" s="1008">
        <f t="shared" si="5"/>
        <v>0.13906301090684867</v>
      </c>
      <c r="H26" s="1008">
        <f t="shared" si="6"/>
        <v>0.2125911572596236</v>
      </c>
      <c r="I26" s="1008">
        <f t="shared" si="7"/>
        <v>0.2125911572596236</v>
      </c>
      <c r="J26" s="1383" t="s">
        <v>332</v>
      </c>
      <c r="K26" s="996"/>
      <c r="L26" s="996"/>
      <c r="M26" s="997"/>
      <c r="N26" s="997"/>
      <c r="O26" s="997"/>
    </row>
    <row r="27" spans="1:16" s="998" customFormat="1" ht="30" customHeight="1">
      <c r="A27" s="1019" t="s">
        <v>1025</v>
      </c>
      <c r="B27" s="1011"/>
      <c r="C27" s="1012">
        <v>2.88</v>
      </c>
      <c r="D27" s="1008">
        <f t="shared" si="2"/>
        <v>2.686704804133317</v>
      </c>
      <c r="E27" s="1008">
        <f t="shared" si="3"/>
        <v>2.3000774468718936</v>
      </c>
      <c r="F27" s="1008">
        <f t="shared" si="4"/>
        <v>0.32340691978522373</v>
      </c>
      <c r="G27" s="1008">
        <f t="shared" si="5"/>
        <v>6.3220437476199542E-2</v>
      </c>
      <c r="H27" s="1008">
        <f t="shared" si="6"/>
        <v>9.6647597933341114E-2</v>
      </c>
      <c r="I27" s="1008">
        <f t="shared" si="7"/>
        <v>9.6647597933341114E-2</v>
      </c>
      <c r="J27" s="1315" t="s">
        <v>218</v>
      </c>
      <c r="K27" s="996"/>
      <c r="L27" s="996"/>
      <c r="M27" s="997"/>
      <c r="N27" s="997"/>
      <c r="O27" s="997"/>
    </row>
    <row r="28" spans="1:16" ht="18.75" customHeight="1">
      <c r="A28" s="388"/>
      <c r="B28" s="389"/>
      <c r="C28" s="388"/>
      <c r="D28" s="388"/>
      <c r="E28" s="388"/>
      <c r="F28" s="388"/>
      <c r="G28" s="388"/>
      <c r="H28" s="388"/>
      <c r="I28" s="388"/>
      <c r="J28" s="390"/>
    </row>
    <row r="29" spans="1:16" s="662" customFormat="1" ht="32.25" customHeight="1">
      <c r="A29" s="1023" t="s">
        <v>368</v>
      </c>
      <c r="B29" s="1023"/>
      <c r="C29" s="1024"/>
      <c r="D29" s="1024"/>
      <c r="E29" s="1023"/>
      <c r="F29" s="1023"/>
      <c r="H29" s="1023"/>
      <c r="I29" s="1577" t="s">
        <v>369</v>
      </c>
      <c r="J29" s="1577"/>
      <c r="K29" s="1321"/>
      <c r="L29" s="633"/>
      <c r="M29" s="633"/>
      <c r="N29" s="633"/>
      <c r="O29" s="633"/>
      <c r="P29" s="633"/>
    </row>
    <row r="30" spans="1:16" ht="14.25">
      <c r="A30" s="1579"/>
      <c r="B30" s="1550"/>
      <c r="C30" s="1550"/>
      <c r="D30" s="1550"/>
      <c r="E30" s="1550"/>
      <c r="F30" s="1550"/>
      <c r="G30" s="1550"/>
      <c r="H30" s="1550"/>
      <c r="I30" s="1550"/>
      <c r="J30" s="1550"/>
    </row>
    <row r="31" spans="1:16" ht="14.25">
      <c r="A31" s="391"/>
      <c r="B31" s="391"/>
      <c r="C31" s="392"/>
      <c r="D31" s="391"/>
      <c r="E31" s="379"/>
      <c r="F31" s="391"/>
      <c r="G31" s="393"/>
      <c r="H31" s="393"/>
      <c r="I31" s="393"/>
      <c r="J31" s="394"/>
    </row>
    <row r="32" spans="1:16">
      <c r="A32" s="391"/>
      <c r="B32" s="391"/>
      <c r="C32" s="395"/>
      <c r="D32" s="345"/>
      <c r="E32" s="345"/>
      <c r="F32" s="345"/>
      <c r="G32" s="345"/>
      <c r="H32" s="396"/>
      <c r="I32" s="396"/>
      <c r="J32" s="391"/>
    </row>
    <row r="33" spans="1:10">
      <c r="A33" s="391"/>
      <c r="B33" s="391"/>
      <c r="C33" s="391"/>
      <c r="D33" s="391"/>
      <c r="E33" s="391"/>
      <c r="F33" s="391"/>
      <c r="G33" s="391"/>
      <c r="H33" s="391"/>
      <c r="I33" s="391"/>
      <c r="J33" s="391"/>
    </row>
    <row r="36" spans="1:10">
      <c r="G36" s="121"/>
      <c r="H36" s="121"/>
      <c r="I36" s="121"/>
      <c r="J36" s="121"/>
    </row>
  </sheetData>
  <mergeCells count="12">
    <mergeCell ref="A30:J30"/>
    <mergeCell ref="A3:G3"/>
    <mergeCell ref="J6:J7"/>
    <mergeCell ref="A6:A7"/>
    <mergeCell ref="C6:C7"/>
    <mergeCell ref="B6:B7"/>
    <mergeCell ref="E6:G6"/>
    <mergeCell ref="D6:D7"/>
    <mergeCell ref="I29:J29"/>
    <mergeCell ref="H6:H7"/>
    <mergeCell ref="I6:I7"/>
    <mergeCell ref="A2:J2"/>
  </mergeCells>
  <phoneticPr fontId="0" type="noConversion"/>
  <conditionalFormatting sqref="E7">
    <cfRule type="expression" dxfId="6" priority="2" stopIfTrue="1">
      <formula>ABS(#REF!-($F7+$G7+#REF!+#REF!))&gt;отклонение</formula>
    </cfRule>
  </conditionalFormatting>
  <conditionalFormatting sqref="F7:G7">
    <cfRule type="expression" dxfId="5" priority="4" stopIfTrue="1">
      <formula>ABS($K7-($L7+#REF!+$K7+$K7))&gt;отклонение</formula>
    </cfRule>
  </conditionalFormatting>
  <pageMargins left="1.1811023622047245" right="0.39370078740157483" top="0.39370078740157483" bottom="0.39370078740157483" header="0.51181102362204722" footer="0.51181102362204722"/>
  <pageSetup paperSize="9" scale="46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:P50"/>
  <sheetViews>
    <sheetView topLeftCell="B1" zoomScaleSheetLayoutView="100" workbookViewId="0">
      <selection activeCell="B1" sqref="B1:I15"/>
    </sheetView>
  </sheetViews>
  <sheetFormatPr defaultRowHeight="12.75"/>
  <cols>
    <col min="1" max="1" width="1.85546875" customWidth="1"/>
    <col min="2" max="2" width="39.42578125" customWidth="1"/>
    <col min="3" max="4" width="12.28515625" customWidth="1"/>
    <col min="5" max="5" width="17" customWidth="1"/>
    <col min="6" max="6" width="13.140625" customWidth="1"/>
    <col min="7" max="7" width="14.28515625" customWidth="1"/>
    <col min="8" max="8" width="13.140625" customWidth="1"/>
    <col min="9" max="9" width="16" customWidth="1"/>
    <col min="10" max="10" width="14.28515625" style="824" customWidth="1"/>
    <col min="11" max="11" width="9.140625" style="824"/>
    <col min="12" max="13" width="8.5703125" style="824" customWidth="1"/>
    <col min="14" max="14" width="9.5703125" style="824" bestFit="1" customWidth="1"/>
    <col min="15" max="15" width="9.140625" style="824"/>
  </cols>
  <sheetData>
    <row r="1" spans="2:14">
      <c r="H1" s="1429" t="s">
        <v>221</v>
      </c>
      <c r="I1" s="1429"/>
    </row>
    <row r="2" spans="2:14" ht="54.75" customHeight="1">
      <c r="B2" s="1583" t="s">
        <v>1005</v>
      </c>
      <c r="C2" s="1583"/>
      <c r="D2" s="1583"/>
      <c r="E2" s="1583"/>
      <c r="F2" s="1583"/>
      <c r="G2" s="1583"/>
      <c r="H2" s="1583"/>
      <c r="I2" s="1583"/>
    </row>
    <row r="3" spans="2:14" ht="15" customHeight="1">
      <c r="H3" s="953"/>
      <c r="I3" s="35"/>
    </row>
    <row r="4" spans="2:14" ht="39" customHeight="1">
      <c r="B4" s="941" t="s">
        <v>643</v>
      </c>
      <c r="C4" s="942">
        <f>D4+H4+I4</f>
        <v>0.99999999999999978</v>
      </c>
      <c r="D4" s="942">
        <f>E4+F4+G4</f>
        <v>0.93288361254629071</v>
      </c>
      <c r="E4" s="965">
        <f>'ЗП_Всього по під-ву'!E28</f>
        <v>0.63011305768372172</v>
      </c>
      <c r="F4" s="965">
        <f>'ЗП_Всього по під-ву'!F28</f>
        <v>0.18028314775954987</v>
      </c>
      <c r="G4" s="965">
        <f>'ЗП_Всього по під-ву'!G28</f>
        <v>0.12248740710301914</v>
      </c>
      <c r="H4" s="965">
        <f>'ЗП_Всього по під-ву'!H28</f>
        <v>3.3558193726854556E-2</v>
      </c>
      <c r="I4" s="965">
        <f>'ЗП_Всього по під-ву'!I28</f>
        <v>3.3558193726854556E-2</v>
      </c>
    </row>
    <row r="5" spans="2:14" ht="30.75" customHeight="1">
      <c r="B5" s="941" t="s">
        <v>372</v>
      </c>
      <c r="C5" s="942">
        <f>SUM(E5:G5)</f>
        <v>1</v>
      </c>
      <c r="D5" s="942"/>
      <c r="E5" s="965">
        <f>Прямі!$D$72</f>
        <v>0.85609607848743829</v>
      </c>
      <c r="F5" s="965">
        <f>Прямі!$E$72</f>
        <v>0.12037307533290731</v>
      </c>
      <c r="G5" s="965">
        <f>Прямі!$F$72</f>
        <v>2.3530846179654386E-2</v>
      </c>
      <c r="H5" s="966"/>
      <c r="I5" s="921"/>
    </row>
    <row r="6" spans="2:14" ht="26.25" customHeight="1">
      <c r="B6" s="941" t="s">
        <v>675</v>
      </c>
      <c r="C6" s="942">
        <f>SUM(E6:G6)</f>
        <v>1</v>
      </c>
      <c r="D6" s="942"/>
      <c r="E6" s="942">
        <f>E5</f>
        <v>0.85609607848743829</v>
      </c>
      <c r="F6" s="942">
        <f>F5</f>
        <v>0.12037307533290731</v>
      </c>
      <c r="G6" s="942">
        <f>G5</f>
        <v>2.3530846179654386E-2</v>
      </c>
      <c r="H6" s="943"/>
      <c r="I6" s="921"/>
    </row>
    <row r="7" spans="2:14" ht="19.5" customHeight="1">
      <c r="B7" s="939"/>
      <c r="C7" s="940"/>
      <c r="D7" s="940"/>
      <c r="E7" s="940"/>
      <c r="F7" s="940"/>
      <c r="G7" s="940"/>
      <c r="H7" s="954"/>
      <c r="I7" s="964" t="s">
        <v>397</v>
      </c>
      <c r="J7" s="963"/>
      <c r="K7" s="963"/>
      <c r="L7" s="963"/>
      <c r="M7" s="963"/>
      <c r="N7" s="963"/>
    </row>
    <row r="8" spans="2:14" ht="21" customHeight="1">
      <c r="B8" s="1585" t="s">
        <v>701</v>
      </c>
      <c r="C8" s="1588" t="s">
        <v>220</v>
      </c>
      <c r="D8" s="1587" t="s">
        <v>379</v>
      </c>
      <c r="E8" s="1586" t="s">
        <v>505</v>
      </c>
      <c r="F8" s="1586"/>
      <c r="G8" s="1586"/>
      <c r="H8" s="1587" t="s">
        <v>989</v>
      </c>
      <c r="I8" s="1587" t="s">
        <v>1002</v>
      </c>
    </row>
    <row r="9" spans="2:14" ht="76.5" customHeight="1">
      <c r="B9" s="1585"/>
      <c r="C9" s="1588"/>
      <c r="D9" s="1587"/>
      <c r="E9" s="968" t="s">
        <v>712</v>
      </c>
      <c r="F9" s="968" t="s">
        <v>620</v>
      </c>
      <c r="G9" s="968" t="s">
        <v>713</v>
      </c>
      <c r="H9" s="1587"/>
      <c r="I9" s="1587"/>
      <c r="J9" s="824" t="s">
        <v>968</v>
      </c>
      <c r="K9" s="824" t="s">
        <v>969</v>
      </c>
      <c r="L9" s="824" t="s">
        <v>970</v>
      </c>
      <c r="M9" s="4" t="s">
        <v>971</v>
      </c>
      <c r="N9" s="824" t="s">
        <v>972</v>
      </c>
    </row>
    <row r="10" spans="2:14" ht="35.1" customHeight="1">
      <c r="B10" s="967" t="s">
        <v>485</v>
      </c>
      <c r="C10" s="976">
        <f>E10+F10+G10</f>
        <v>145.34399999999999</v>
      </c>
      <c r="D10" s="976">
        <f>E10+F10+G10</f>
        <v>145.34399999999999</v>
      </c>
      <c r="E10" s="976">
        <v>143.12299999999999</v>
      </c>
      <c r="F10" s="976">
        <v>2.2210000000000001</v>
      </c>
      <c r="G10" s="976">
        <v>0</v>
      </c>
      <c r="H10" s="976">
        <v>0</v>
      </c>
      <c r="I10" s="977">
        <v>0</v>
      </c>
      <c r="J10" s="824">
        <v>1194.48</v>
      </c>
      <c r="K10" s="824">
        <v>2011.32</v>
      </c>
      <c r="L10" s="824">
        <v>4987.5600000000004</v>
      </c>
      <c r="N10" s="824">
        <v>2361</v>
      </c>
    </row>
    <row r="11" spans="2:14" ht="35.1" customHeight="1">
      <c r="B11" s="828" t="s">
        <v>697</v>
      </c>
      <c r="C11" s="976">
        <v>20.187999999999999</v>
      </c>
      <c r="D11" s="978">
        <f>C11*D4</f>
        <v>18.833054370084515</v>
      </c>
      <c r="E11" s="978">
        <f>C11*E4</f>
        <v>12.720722408518974</v>
      </c>
      <c r="F11" s="978">
        <f>C11*F4</f>
        <v>3.6395561869697928</v>
      </c>
      <c r="G11" s="978">
        <f>C11*G4</f>
        <v>2.4727757745957502</v>
      </c>
      <c r="H11" s="978">
        <f>C11*H4</f>
        <v>0.6774728149577397</v>
      </c>
      <c r="I11" s="978">
        <f>C11*I4</f>
        <v>0.6774728149577397</v>
      </c>
      <c r="J11" s="824">
        <v>480</v>
      </c>
      <c r="K11" s="824">
        <v>6130.8</v>
      </c>
      <c r="L11" s="824">
        <v>4987.5600000000004</v>
      </c>
      <c r="N11" s="824">
        <v>5898.86</v>
      </c>
    </row>
    <row r="12" spans="2:14" ht="35.1" customHeight="1">
      <c r="B12" s="829" t="s">
        <v>554</v>
      </c>
      <c r="C12" s="976">
        <v>21.114999999999998</v>
      </c>
      <c r="D12" s="978">
        <f t="shared" ref="D12:I12" si="0">$C$12*D4</f>
        <v>19.697837478914927</v>
      </c>
      <c r="E12" s="978">
        <f t="shared" si="0"/>
        <v>13.304837212991783</v>
      </c>
      <c r="F12" s="978">
        <f t="shared" si="0"/>
        <v>3.8066786649428952</v>
      </c>
      <c r="G12" s="978">
        <f t="shared" si="0"/>
        <v>2.586321600980249</v>
      </c>
      <c r="H12" s="978">
        <f t="shared" si="0"/>
        <v>0.7085812605425339</v>
      </c>
      <c r="I12" s="978">
        <f t="shared" si="0"/>
        <v>0.7085812605425339</v>
      </c>
      <c r="J12" s="824">
        <v>1185.72</v>
      </c>
      <c r="K12" s="824">
        <v>781.44</v>
      </c>
      <c r="L12" s="824">
        <v>3562.56</v>
      </c>
      <c r="N12" s="824">
        <v>385.8</v>
      </c>
    </row>
    <row r="13" spans="2:14" ht="30" customHeight="1">
      <c r="B13" s="971"/>
      <c r="C13" s="955"/>
      <c r="D13" s="955"/>
      <c r="E13" s="955"/>
      <c r="F13" s="955"/>
      <c r="G13" s="955"/>
      <c r="H13" s="955"/>
      <c r="I13" s="972">
        <f t="shared" ref="I13:I18" si="1">C13-(E13+F13+G13)</f>
        <v>0</v>
      </c>
      <c r="J13" s="824">
        <v>480</v>
      </c>
      <c r="K13" s="824">
        <v>4115.16</v>
      </c>
      <c r="L13" s="824">
        <v>3562.56</v>
      </c>
      <c r="N13" s="824">
        <v>95.76</v>
      </c>
    </row>
    <row r="14" spans="2:14" ht="30" customHeight="1">
      <c r="B14" s="688" t="s">
        <v>368</v>
      </c>
      <c r="C14" s="664"/>
      <c r="D14" s="664"/>
      <c r="E14" s="664"/>
      <c r="F14" s="664"/>
      <c r="G14" s="1457" t="s">
        <v>370</v>
      </c>
      <c r="H14" s="1457"/>
      <c r="I14" s="972"/>
      <c r="J14" s="824">
        <v>920.88</v>
      </c>
      <c r="K14" s="824">
        <v>168.6</v>
      </c>
      <c r="L14" s="824">
        <v>3885.48</v>
      </c>
      <c r="N14" s="824">
        <v>315</v>
      </c>
    </row>
    <row r="15" spans="2:14" ht="30" customHeight="1">
      <c r="B15" s="973"/>
      <c r="C15" s="956"/>
      <c r="D15" s="956"/>
      <c r="E15" s="956"/>
      <c r="F15" s="956"/>
      <c r="G15" s="956"/>
      <c r="H15" s="956"/>
      <c r="I15" s="972">
        <f t="shared" si="1"/>
        <v>0</v>
      </c>
      <c r="J15" s="824">
        <v>480</v>
      </c>
      <c r="K15" s="824">
        <v>152.63999999999999</v>
      </c>
      <c r="L15" s="824">
        <v>3885.48</v>
      </c>
      <c r="M15" s="824">
        <v>1460.04</v>
      </c>
    </row>
    <row r="16" spans="2:14" ht="30" customHeight="1">
      <c r="B16" s="974"/>
      <c r="C16" s="957"/>
      <c r="D16" s="957"/>
      <c r="E16" s="957"/>
      <c r="F16" s="957"/>
      <c r="G16" s="957"/>
      <c r="H16" s="957"/>
      <c r="I16" s="972">
        <f t="shared" si="1"/>
        <v>0</v>
      </c>
      <c r="J16" s="824">
        <v>1182.1199999999999</v>
      </c>
      <c r="K16" s="825">
        <v>2641.02</v>
      </c>
      <c r="L16" s="824">
        <v>3562.56</v>
      </c>
      <c r="N16" s="824">
        <v>594.96</v>
      </c>
    </row>
    <row r="17" spans="2:15" ht="30" customHeight="1">
      <c r="B17" s="974"/>
      <c r="C17" s="957"/>
      <c r="D17" s="957"/>
      <c r="E17" s="957"/>
      <c r="F17" s="957"/>
      <c r="G17" s="957"/>
      <c r="H17" s="957"/>
      <c r="I17" s="972">
        <f t="shared" si="1"/>
        <v>0</v>
      </c>
      <c r="J17" s="824">
        <v>480</v>
      </c>
      <c r="K17" s="824">
        <v>957.24</v>
      </c>
      <c r="L17" s="824">
        <v>2308.1999999999998</v>
      </c>
      <c r="M17" s="824">
        <v>740.04</v>
      </c>
    </row>
    <row r="18" spans="2:15" ht="30" customHeight="1">
      <c r="B18" s="974"/>
      <c r="C18" s="957"/>
      <c r="D18" s="957"/>
      <c r="E18" s="975"/>
      <c r="F18" s="975"/>
      <c r="G18" s="957"/>
      <c r="H18" s="957"/>
      <c r="I18" s="972">
        <f t="shared" si="1"/>
        <v>0</v>
      </c>
      <c r="J18" s="824">
        <v>1296.1199999999999</v>
      </c>
      <c r="K18" s="824">
        <v>729.48</v>
      </c>
      <c r="L18" s="824">
        <v>3885.48</v>
      </c>
      <c r="M18" s="824">
        <v>10201.040000000001</v>
      </c>
      <c r="N18" s="824">
        <v>590.04</v>
      </c>
    </row>
    <row r="19" spans="2:15" ht="30" customHeight="1">
      <c r="B19" s="969"/>
      <c r="C19" s="970"/>
      <c r="D19" s="970"/>
      <c r="E19" s="970"/>
      <c r="F19" s="970"/>
      <c r="G19" s="970"/>
      <c r="H19" s="958"/>
      <c r="I19" s="316"/>
      <c r="J19" s="824">
        <v>2450.2800000000002</v>
      </c>
      <c r="K19" s="824">
        <v>1545</v>
      </c>
      <c r="L19" s="824">
        <v>3885.48</v>
      </c>
      <c r="N19" s="824">
        <v>1995</v>
      </c>
    </row>
    <row r="20" spans="2:15" ht="30" customHeight="1">
      <c r="B20" s="692"/>
      <c r="C20" s="453"/>
      <c r="D20" s="453"/>
      <c r="E20" s="453"/>
      <c r="F20" s="453"/>
      <c r="G20" s="453"/>
      <c r="H20" s="959"/>
      <c r="I20" s="316"/>
      <c r="J20" s="824">
        <v>72</v>
      </c>
      <c r="K20" s="824">
        <v>678.12</v>
      </c>
      <c r="L20" s="824">
        <v>3885.48</v>
      </c>
      <c r="N20" s="824">
        <v>355.93</v>
      </c>
    </row>
    <row r="21" spans="2:15" ht="30" customHeight="1">
      <c r="B21" s="692"/>
      <c r="C21" s="453"/>
      <c r="D21" s="453"/>
      <c r="E21" s="453"/>
      <c r="F21" s="453"/>
      <c r="G21" s="453"/>
      <c r="H21" s="959"/>
      <c r="I21" s="316"/>
      <c r="J21" s="824">
        <v>7846.8</v>
      </c>
      <c r="K21" s="824">
        <v>187.64</v>
      </c>
      <c r="L21" s="824">
        <v>3885.48</v>
      </c>
      <c r="N21" s="824">
        <v>999</v>
      </c>
    </row>
    <row r="22" spans="2:15" ht="30" customHeight="1">
      <c r="B22" s="692"/>
      <c r="C22" s="454"/>
      <c r="D22" s="454"/>
      <c r="E22" s="454"/>
      <c r="F22" s="454"/>
      <c r="G22" s="453"/>
      <c r="H22" s="959"/>
      <c r="I22" s="316"/>
      <c r="J22" s="824">
        <v>1500</v>
      </c>
      <c r="K22" s="824">
        <v>1200</v>
      </c>
      <c r="L22" s="824">
        <v>3562.56</v>
      </c>
      <c r="N22" s="824">
        <v>1364.04</v>
      </c>
    </row>
    <row r="23" spans="2:15" ht="30" customHeight="1">
      <c r="B23" s="693"/>
      <c r="C23" s="452"/>
      <c r="D23" s="452"/>
      <c r="E23" s="452"/>
      <c r="F23" s="452"/>
      <c r="G23" s="452"/>
      <c r="H23" s="958"/>
      <c r="I23" s="316"/>
      <c r="J23" s="824">
        <v>162.96</v>
      </c>
      <c r="K23" s="824">
        <v>11835.24</v>
      </c>
      <c r="N23" s="824">
        <v>1200</v>
      </c>
    </row>
    <row r="24" spans="2:15" ht="30" customHeight="1">
      <c r="B24" s="692"/>
      <c r="C24" s="453"/>
      <c r="D24" s="453"/>
      <c r="E24" s="453"/>
      <c r="F24" s="453"/>
      <c r="G24" s="453"/>
      <c r="H24" s="959"/>
      <c r="I24" s="316"/>
      <c r="J24" s="824">
        <v>2411.4</v>
      </c>
      <c r="K24" s="824">
        <v>12530.16</v>
      </c>
      <c r="N24" s="824">
        <v>1032.96</v>
      </c>
    </row>
    <row r="25" spans="2:15" ht="30" customHeight="1">
      <c r="B25" s="692"/>
      <c r="C25" s="454"/>
      <c r="D25" s="453"/>
      <c r="E25" s="454"/>
      <c r="F25" s="454"/>
      <c r="G25" s="454"/>
      <c r="H25" s="960"/>
      <c r="I25" s="316"/>
      <c r="J25" s="824">
        <v>72</v>
      </c>
      <c r="K25" s="824">
        <v>3189.12</v>
      </c>
      <c r="N25" s="824">
        <v>183.12</v>
      </c>
    </row>
    <row r="26" spans="2:15" ht="30" customHeight="1">
      <c r="B26" s="692"/>
      <c r="C26" s="454"/>
      <c r="D26" s="453"/>
      <c r="E26" s="454"/>
      <c r="F26" s="454"/>
      <c r="G26" s="454"/>
      <c r="H26" s="960"/>
      <c r="I26" s="316"/>
      <c r="J26" s="824">
        <v>480</v>
      </c>
      <c r="K26" s="824">
        <v>1076.8800000000001</v>
      </c>
      <c r="N26" s="824">
        <v>485.52</v>
      </c>
    </row>
    <row r="27" spans="2:15" ht="30" customHeight="1">
      <c r="B27" s="692"/>
      <c r="C27" s="454"/>
      <c r="D27" s="453"/>
      <c r="E27" s="454"/>
      <c r="F27" s="454"/>
      <c r="G27" s="454"/>
      <c r="H27" s="960"/>
      <c r="I27" s="316"/>
      <c r="J27" s="824">
        <v>3200.04</v>
      </c>
      <c r="K27" s="1074"/>
      <c r="M27" s="824">
        <v>1935</v>
      </c>
      <c r="N27" s="824">
        <v>333.1</v>
      </c>
    </row>
    <row r="28" spans="2:15" ht="30" customHeight="1">
      <c r="B28" s="692"/>
      <c r="C28" s="454"/>
      <c r="D28" s="454"/>
      <c r="E28" s="455"/>
      <c r="F28" s="456"/>
      <c r="G28" s="456"/>
      <c r="H28" s="961"/>
      <c r="I28" s="316"/>
      <c r="J28" s="718">
        <v>1277.1600000000001</v>
      </c>
    </row>
    <row r="29" spans="2:15" s="559" customFormat="1" ht="30" customHeight="1">
      <c r="B29" s="583"/>
      <c r="C29" s="690"/>
      <c r="D29" s="690"/>
      <c r="E29" s="690"/>
      <c r="F29" s="690"/>
      <c r="G29" s="690"/>
      <c r="H29" s="962"/>
      <c r="I29" s="691"/>
      <c r="J29" s="826">
        <v>7594.56</v>
      </c>
      <c r="K29" s="826"/>
      <c r="L29" s="826"/>
      <c r="M29" s="826"/>
      <c r="N29" s="826"/>
      <c r="O29" s="826"/>
    </row>
    <row r="30" spans="2:15" s="1" customFormat="1" ht="13.5" customHeight="1">
      <c r="B30" s="377"/>
      <c r="C30" s="343"/>
      <c r="D30" s="343"/>
      <c r="E30" s="457"/>
      <c r="F30" s="457"/>
      <c r="G30" s="457"/>
      <c r="H30" s="457"/>
      <c r="I30" s="314"/>
      <c r="J30" s="825">
        <v>847.51</v>
      </c>
      <c r="K30" s="825"/>
      <c r="L30" s="825"/>
      <c r="M30" s="825"/>
      <c r="N30" s="825"/>
      <c r="O30" s="825"/>
    </row>
    <row r="31" spans="2:15">
      <c r="B31" s="458"/>
      <c r="C31" s="345"/>
      <c r="D31" s="345"/>
      <c r="E31" s="394"/>
      <c r="F31" s="345"/>
      <c r="G31" s="345"/>
      <c r="H31" s="345"/>
      <c r="I31" s="315"/>
      <c r="J31" s="824">
        <f>SUM(J10:J30)</f>
        <v>35614.030000000006</v>
      </c>
      <c r="K31" s="824">
        <f>SUM(K10:K30)</f>
        <v>49929.86</v>
      </c>
      <c r="L31" s="824">
        <f>SUM(L10:L30)</f>
        <v>49846.44000000001</v>
      </c>
      <c r="M31" s="824">
        <f>SUM(M10:M30)</f>
        <v>14336.12</v>
      </c>
      <c r="N31" s="824">
        <f>SUM(N10:N30)</f>
        <v>18190.09</v>
      </c>
    </row>
    <row r="32" spans="2:15" s="662" customFormat="1" ht="52.5" customHeight="1">
      <c r="H32" s="664"/>
      <c r="I32" s="689"/>
      <c r="J32" s="827"/>
      <c r="K32" s="827"/>
      <c r="L32" s="827"/>
      <c r="M32" s="827"/>
      <c r="N32" s="827"/>
      <c r="O32" s="827"/>
    </row>
    <row r="33" spans="1:16" ht="14.25">
      <c r="B33" s="1584"/>
      <c r="C33" s="1550"/>
      <c r="D33" s="1550"/>
      <c r="E33" s="1550"/>
      <c r="F33" s="1550"/>
      <c r="G33" s="1550"/>
      <c r="H33" s="881"/>
      <c r="I33" s="315"/>
    </row>
    <row r="34" spans="1:16" ht="14.25">
      <c r="B34" s="459"/>
      <c r="C34" s="345"/>
      <c r="D34" s="345"/>
      <c r="E34" s="459"/>
      <c r="F34" s="345"/>
      <c r="G34" s="345"/>
      <c r="H34" s="345"/>
      <c r="I34" s="315"/>
    </row>
    <row r="35" spans="1:16" ht="12.75" customHeight="1">
      <c r="B35" s="345"/>
      <c r="C35" s="345"/>
      <c r="D35" s="345"/>
      <c r="E35" s="345"/>
      <c r="F35" s="345"/>
      <c r="G35" s="345"/>
      <c r="H35" s="345"/>
      <c r="I35" s="315"/>
    </row>
    <row r="36" spans="1:16" ht="12.75" customHeight="1">
      <c r="B36" s="391"/>
      <c r="C36" s="345"/>
      <c r="D36" s="345"/>
      <c r="E36" s="345"/>
      <c r="F36" s="345"/>
      <c r="G36" s="345"/>
      <c r="H36" s="345"/>
      <c r="I36" s="315"/>
    </row>
    <row r="37" spans="1:16" ht="12.75" customHeight="1">
      <c r="B37" s="391"/>
      <c r="C37" s="347"/>
      <c r="D37" s="347"/>
      <c r="E37" s="448"/>
      <c r="F37" s="347"/>
      <c r="G37" s="345"/>
      <c r="H37" s="345"/>
      <c r="I37" s="315"/>
    </row>
    <row r="38" spans="1:16" ht="12.75" customHeight="1">
      <c r="B38" s="345"/>
      <c r="C38" s="345"/>
      <c r="D38" s="345"/>
      <c r="E38" s="345"/>
      <c r="F38" s="345"/>
      <c r="G38" s="345"/>
      <c r="H38" s="345"/>
      <c r="I38" s="315"/>
    </row>
    <row r="39" spans="1:16" ht="12.75" customHeight="1">
      <c r="B39" s="460"/>
      <c r="C39" s="438"/>
      <c r="D39" s="438"/>
      <c r="E39" s="394"/>
      <c r="F39" s="345"/>
      <c r="G39" s="345"/>
      <c r="H39" s="345"/>
      <c r="I39" s="315"/>
    </row>
    <row r="40" spans="1:16" ht="12.75" customHeight="1">
      <c r="B40" s="458"/>
      <c r="C40" s="438"/>
      <c r="D40" s="438"/>
      <c r="E40" s="394"/>
      <c r="F40" s="345"/>
      <c r="G40" s="345"/>
      <c r="H40" s="345"/>
      <c r="I40" s="315"/>
    </row>
    <row r="41" spans="1:16" ht="12.75" customHeight="1">
      <c r="B41" s="460"/>
      <c r="C41" s="438"/>
      <c r="D41" s="438"/>
      <c r="E41" s="394"/>
      <c r="F41" s="345"/>
      <c r="G41" s="345"/>
      <c r="H41" s="345"/>
      <c r="I41" s="315"/>
    </row>
    <row r="42" spans="1:16" ht="12.75" customHeight="1">
      <c r="B42" s="458"/>
      <c r="C42" s="438"/>
      <c r="D42" s="438"/>
      <c r="E42" s="394"/>
      <c r="F42" s="345"/>
      <c r="G42" s="345"/>
      <c r="H42" s="345"/>
      <c r="I42" s="315"/>
    </row>
    <row r="43" spans="1:16" ht="12.75" customHeight="1">
      <c r="B43" s="461"/>
      <c r="C43" s="438"/>
      <c r="D43" s="438"/>
      <c r="E43" s="394"/>
      <c r="F43" s="345"/>
      <c r="G43" s="345"/>
      <c r="H43" s="345"/>
      <c r="I43" s="315"/>
    </row>
    <row r="44" spans="1:16">
      <c r="A44" s="313"/>
      <c r="B44" s="317" t="s">
        <v>410</v>
      </c>
      <c r="C44" s="317" t="e">
        <f>#REF!/3</f>
        <v>#REF!</v>
      </c>
      <c r="D44" s="317">
        <v>12226</v>
      </c>
      <c r="E44" s="317" t="s">
        <v>420</v>
      </c>
      <c r="F44" s="317"/>
      <c r="G44" s="317"/>
      <c r="H44" s="317"/>
      <c r="I44" s="317"/>
      <c r="J44" s="718"/>
      <c r="K44" s="718"/>
      <c r="L44" s="718"/>
      <c r="M44" s="718"/>
      <c r="N44" s="718"/>
      <c r="O44" s="718"/>
      <c r="P44" s="313"/>
    </row>
    <row r="45" spans="1:16">
      <c r="A45" s="313"/>
      <c r="B45" s="317" t="s">
        <v>411</v>
      </c>
      <c r="C45" s="318" t="e">
        <f>#REF!/3</f>
        <v>#REF!</v>
      </c>
      <c r="D45" s="317">
        <v>16953</v>
      </c>
      <c r="E45" s="317" t="s">
        <v>415</v>
      </c>
      <c r="F45" s="317"/>
      <c r="G45" s="317"/>
      <c r="H45" s="317"/>
      <c r="I45" s="317"/>
      <c r="J45" s="718"/>
      <c r="K45" s="718"/>
      <c r="L45" s="718"/>
      <c r="M45" s="718"/>
      <c r="N45" s="718"/>
      <c r="O45" s="718"/>
      <c r="P45" s="313"/>
    </row>
    <row r="46" spans="1:16">
      <c r="A46" s="313"/>
      <c r="B46" s="317" t="s">
        <v>412</v>
      </c>
      <c r="C46" s="318" t="e">
        <f>#REF!/3</f>
        <v>#REF!</v>
      </c>
      <c r="D46" s="317">
        <v>1156.98</v>
      </c>
      <c r="E46" s="317" t="s">
        <v>432</v>
      </c>
      <c r="F46" s="317"/>
      <c r="G46" s="317"/>
      <c r="H46" s="317"/>
      <c r="I46" s="317"/>
      <c r="J46" s="718"/>
      <c r="K46" s="718"/>
      <c r="L46" s="718"/>
      <c r="M46" s="718"/>
      <c r="N46" s="718"/>
      <c r="O46" s="718"/>
      <c r="P46" s="313"/>
    </row>
    <row r="47" spans="1:16">
      <c r="A47" s="313"/>
      <c r="B47" s="317" t="s">
        <v>413</v>
      </c>
      <c r="C47" s="318" t="e">
        <f>#REF!/3</f>
        <v>#REF!</v>
      </c>
      <c r="D47" s="317"/>
      <c r="E47" s="317"/>
      <c r="F47" s="317"/>
      <c r="G47" s="317"/>
      <c r="H47" s="317"/>
      <c r="I47" s="317"/>
      <c r="J47" s="718"/>
      <c r="K47" s="718"/>
      <c r="L47" s="718"/>
      <c r="M47" s="718"/>
      <c r="N47" s="718"/>
      <c r="O47" s="718"/>
      <c r="P47" s="313"/>
    </row>
    <row r="48" spans="1:16">
      <c r="A48" s="313"/>
      <c r="B48" s="317" t="s">
        <v>414</v>
      </c>
      <c r="C48" s="317" t="e">
        <f>#REF!/3</f>
        <v>#REF!</v>
      </c>
      <c r="D48" s="317"/>
      <c r="E48" s="317"/>
      <c r="F48" s="317"/>
      <c r="G48" s="317"/>
      <c r="H48" s="317"/>
      <c r="I48" s="317"/>
      <c r="J48" s="718"/>
      <c r="K48" s="718"/>
      <c r="L48" s="718"/>
      <c r="M48" s="718"/>
      <c r="N48" s="718"/>
      <c r="O48" s="718"/>
      <c r="P48" s="313"/>
    </row>
    <row r="49" spans="1:16">
      <c r="A49" s="313"/>
      <c r="B49" s="317" t="s">
        <v>694</v>
      </c>
      <c r="C49" s="319" t="e">
        <f>#REF!+C44+C45+C46+C47+C48</f>
        <v>#REF!</v>
      </c>
      <c r="D49" s="317">
        <f>SUM(D44:D46)</f>
        <v>30335.98</v>
      </c>
      <c r="E49" s="317"/>
      <c r="F49" s="317"/>
      <c r="G49" s="317"/>
      <c r="H49" s="317"/>
      <c r="I49" s="317"/>
      <c r="J49" s="718"/>
      <c r="K49" s="718"/>
      <c r="L49" s="718"/>
      <c r="M49" s="718"/>
      <c r="N49" s="718"/>
      <c r="O49" s="718"/>
      <c r="P49" s="313"/>
    </row>
    <row r="50" spans="1:16">
      <c r="A50" s="313"/>
      <c r="B50" s="317"/>
      <c r="C50" s="317"/>
      <c r="D50" s="317"/>
      <c r="E50" s="317"/>
      <c r="F50" s="317"/>
      <c r="G50" s="317"/>
      <c r="H50" s="317"/>
      <c r="I50" s="317"/>
      <c r="J50" s="718"/>
      <c r="K50" s="718"/>
      <c r="L50" s="718"/>
      <c r="M50" s="718"/>
      <c r="N50" s="718"/>
      <c r="O50" s="718"/>
      <c r="P50" s="313"/>
    </row>
  </sheetData>
  <mergeCells count="10">
    <mergeCell ref="H1:I1"/>
    <mergeCell ref="G14:H14"/>
    <mergeCell ref="B2:I2"/>
    <mergeCell ref="B33:G33"/>
    <mergeCell ref="B8:B9"/>
    <mergeCell ref="E8:G8"/>
    <mergeCell ref="D8:D9"/>
    <mergeCell ref="H8:H9"/>
    <mergeCell ref="I8:I9"/>
    <mergeCell ref="C8:C9"/>
  </mergeCells>
  <phoneticPr fontId="0" type="noConversion"/>
  <conditionalFormatting sqref="F9:G9">
    <cfRule type="expression" dxfId="4" priority="2" stopIfTrue="1">
      <formula>ABS($K9-($L9+#REF!+$K9+$K9))&gt;отклонение</formula>
    </cfRule>
  </conditionalFormatting>
  <conditionalFormatting sqref="E9">
    <cfRule type="expression" dxfId="3" priority="15" stopIfTrue="1">
      <formula>ABS(#REF!-(#REF!+$I9+#REF!+#REF!))&gt;отклонение</formula>
    </cfRule>
  </conditionalFormatting>
  <pageMargins left="1.1811023622047245" right="0.39370078740157483" top="0.39370078740157483" bottom="0.39370078740157483" header="0.23622047244094491" footer="0.15748031496062992"/>
  <pageSetup paperSize="9" scale="62" orientation="portrait" horizontalDpi="300" verticalDpi="300" r:id="rId1"/>
  <headerFooter alignWithMargins="0"/>
  <rowBreaks count="1" manualBreakCount="1">
    <brk id="32" min="1" max="8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>
    <pageSetUpPr fitToPage="1"/>
  </sheetPr>
  <dimension ref="A1:Y17"/>
  <sheetViews>
    <sheetView view="pageBreakPreview" zoomScaleNormal="80" zoomScaleSheetLayoutView="100" workbookViewId="0">
      <selection activeCell="R15" sqref="R15:T15"/>
    </sheetView>
  </sheetViews>
  <sheetFormatPr defaultColWidth="6.28515625" defaultRowHeight="12.75"/>
  <cols>
    <col min="1" max="1" width="3.5703125" customWidth="1"/>
    <col min="2" max="2" width="13.140625" customWidth="1"/>
    <col min="3" max="3" width="9.7109375" style="559" customWidth="1"/>
    <col min="4" max="4" width="7.7109375" style="559" customWidth="1"/>
    <col min="5" max="5" width="13.85546875" customWidth="1"/>
    <col min="6" max="6" width="7.42578125" customWidth="1"/>
    <col min="7" max="7" width="6" customWidth="1"/>
    <col min="8" max="8" width="6.5703125" customWidth="1"/>
    <col min="9" max="9" width="7.42578125" customWidth="1"/>
    <col min="10" max="10" width="6" customWidth="1"/>
    <col min="11" max="11" width="6.28515625" customWidth="1"/>
    <col min="12" max="12" width="5.7109375" customWidth="1"/>
    <col min="13" max="13" width="13.42578125" customWidth="1"/>
    <col min="14" max="14" width="7" customWidth="1"/>
    <col min="15" max="15" width="5.85546875" customWidth="1"/>
    <col min="16" max="16" width="7.5703125" customWidth="1"/>
    <col min="17" max="17" width="7.140625" customWidth="1"/>
    <col min="18" max="19" width="7.28515625" customWidth="1"/>
    <col min="20" max="20" width="10.7109375" customWidth="1"/>
    <col min="21" max="21" width="6.5703125" customWidth="1"/>
    <col min="22" max="22" width="8.42578125" customWidth="1"/>
    <col min="23" max="249" width="9.140625" customWidth="1"/>
    <col min="250" max="250" width="3.5703125" customWidth="1"/>
    <col min="251" max="251" width="13.140625" customWidth="1"/>
    <col min="252" max="253" width="5.7109375" customWidth="1"/>
    <col min="254" max="254" width="12.7109375" customWidth="1"/>
    <col min="255" max="255" width="7.42578125" customWidth="1"/>
  </cols>
  <sheetData>
    <row r="1" spans="1:25" ht="23.25" customHeight="1">
      <c r="S1" s="1575" t="s">
        <v>222</v>
      </c>
      <c r="T1" s="1575"/>
    </row>
    <row r="2" spans="1:25" s="559" customFormat="1" ht="31.5" customHeight="1">
      <c r="A2" s="1594" t="s">
        <v>337</v>
      </c>
      <c r="B2" s="1594"/>
      <c r="C2" s="1594"/>
      <c r="D2" s="1594"/>
      <c r="E2" s="1594"/>
      <c r="F2" s="1594"/>
      <c r="G2" s="1594"/>
      <c r="H2" s="1594"/>
      <c r="I2" s="1594"/>
      <c r="J2" s="1594"/>
      <c r="K2" s="1594"/>
      <c r="L2" s="1594"/>
      <c r="M2" s="1594"/>
      <c r="N2" s="1594"/>
      <c r="O2" s="1594"/>
      <c r="P2" s="1594"/>
      <c r="Q2" s="1594"/>
      <c r="R2" s="1594"/>
      <c r="S2" s="1594"/>
      <c r="T2" s="1594"/>
    </row>
    <row r="3" spans="1:25" ht="38.25" customHeight="1">
      <c r="A3" s="1595" t="s">
        <v>430</v>
      </c>
      <c r="B3" s="1595" t="s">
        <v>861</v>
      </c>
      <c r="C3" s="1598" t="s">
        <v>862</v>
      </c>
      <c r="D3" s="1598" t="s">
        <v>863</v>
      </c>
      <c r="E3" s="1595" t="s">
        <v>864</v>
      </c>
      <c r="F3" s="1589" t="s">
        <v>336</v>
      </c>
      <c r="G3" s="1589"/>
      <c r="H3" s="1589"/>
      <c r="I3" s="1589" t="s">
        <v>338</v>
      </c>
      <c r="J3" s="1589"/>
      <c r="K3" s="1589"/>
      <c r="L3" s="1592" t="s">
        <v>865</v>
      </c>
      <c r="M3" s="1589" t="s">
        <v>866</v>
      </c>
      <c r="N3" s="1589" t="s">
        <v>867</v>
      </c>
      <c r="O3" s="1589"/>
      <c r="P3" s="1589" t="s">
        <v>868</v>
      </c>
      <c r="Q3" s="1589"/>
      <c r="R3" s="1589" t="s">
        <v>869</v>
      </c>
      <c r="S3" s="1589"/>
      <c r="T3" s="1590" t="s">
        <v>345</v>
      </c>
    </row>
    <row r="4" spans="1:25" ht="29.25" customHeight="1">
      <c r="A4" s="1596"/>
      <c r="B4" s="1596"/>
      <c r="C4" s="1599"/>
      <c r="D4" s="1599"/>
      <c r="E4" s="1596"/>
      <c r="F4" s="1589" t="s">
        <v>870</v>
      </c>
      <c r="G4" s="1589" t="s">
        <v>871</v>
      </c>
      <c r="H4" s="1589"/>
      <c r="I4" s="1589" t="s">
        <v>870</v>
      </c>
      <c r="J4" s="1589" t="s">
        <v>871</v>
      </c>
      <c r="K4" s="1589"/>
      <c r="L4" s="1592"/>
      <c r="M4" s="1589"/>
      <c r="N4" s="1590" t="s">
        <v>872</v>
      </c>
      <c r="O4" s="1590" t="s">
        <v>873</v>
      </c>
      <c r="P4" s="721" t="s">
        <v>874</v>
      </c>
      <c r="Q4" s="721" t="s">
        <v>874</v>
      </c>
      <c r="R4" s="1590" t="s">
        <v>872</v>
      </c>
      <c r="S4" s="1590" t="s">
        <v>873</v>
      </c>
      <c r="T4" s="1590"/>
    </row>
    <row r="5" spans="1:25" ht="91.5" customHeight="1">
      <c r="A5" s="1597"/>
      <c r="B5" s="1597"/>
      <c r="C5" s="1600"/>
      <c r="D5" s="1600"/>
      <c r="E5" s="1597"/>
      <c r="F5" s="1589"/>
      <c r="G5" s="722" t="s">
        <v>875</v>
      </c>
      <c r="H5" s="723" t="s">
        <v>876</v>
      </c>
      <c r="I5" s="1589"/>
      <c r="J5" s="722" t="s">
        <v>875</v>
      </c>
      <c r="K5" s="723" t="s">
        <v>876</v>
      </c>
      <c r="L5" s="1593"/>
      <c r="M5" s="1589"/>
      <c r="N5" s="1590"/>
      <c r="O5" s="1590"/>
      <c r="P5" s="724" t="s">
        <v>877</v>
      </c>
      <c r="Q5" s="724" t="s">
        <v>877</v>
      </c>
      <c r="R5" s="1590"/>
      <c r="S5" s="1590"/>
      <c r="T5" s="1590"/>
      <c r="V5" s="84" t="s">
        <v>915</v>
      </c>
    </row>
    <row r="6" spans="1:25" ht="15">
      <c r="A6" s="725">
        <v>1</v>
      </c>
      <c r="B6" s="725">
        <v>2</v>
      </c>
      <c r="C6" s="751">
        <v>3</v>
      </c>
      <c r="D6" s="751">
        <v>4</v>
      </c>
      <c r="E6" s="725">
        <v>5</v>
      </c>
      <c r="F6" s="725">
        <v>6</v>
      </c>
      <c r="G6" s="725">
        <v>7</v>
      </c>
      <c r="H6" s="725">
        <v>8</v>
      </c>
      <c r="I6" s="725">
        <v>9</v>
      </c>
      <c r="J6" s="725">
        <v>10</v>
      </c>
      <c r="K6" s="725">
        <v>11</v>
      </c>
      <c r="L6" s="725">
        <v>12</v>
      </c>
      <c r="M6" s="725">
        <v>13</v>
      </c>
      <c r="N6" s="725">
        <v>14</v>
      </c>
      <c r="O6" s="725">
        <v>15</v>
      </c>
      <c r="P6" s="725">
        <v>16</v>
      </c>
      <c r="Q6" s="725">
        <v>17</v>
      </c>
      <c r="R6" s="725">
        <v>18</v>
      </c>
      <c r="S6" s="725">
        <v>19</v>
      </c>
      <c r="T6" s="725">
        <v>20</v>
      </c>
    </row>
    <row r="7" spans="1:25" ht="64.5" customHeight="1">
      <c r="A7" s="897">
        <v>1</v>
      </c>
      <c r="B7" s="897" t="s">
        <v>886</v>
      </c>
      <c r="C7" s="898" t="s">
        <v>945</v>
      </c>
      <c r="D7" s="898">
        <v>2005</v>
      </c>
      <c r="E7" s="898" t="s">
        <v>878</v>
      </c>
      <c r="F7" s="899">
        <v>19629</v>
      </c>
      <c r="G7" s="898" t="s">
        <v>946</v>
      </c>
      <c r="H7" s="898" t="s">
        <v>946</v>
      </c>
      <c r="I7" s="899">
        <v>19629</v>
      </c>
      <c r="J7" s="898" t="s">
        <v>946</v>
      </c>
      <c r="K7" s="898" t="s">
        <v>946</v>
      </c>
      <c r="L7" s="898" t="s">
        <v>879</v>
      </c>
      <c r="M7" s="898" t="s">
        <v>947</v>
      </c>
      <c r="N7" s="898">
        <v>9</v>
      </c>
      <c r="O7" s="898" t="s">
        <v>946</v>
      </c>
      <c r="P7" s="898">
        <v>0</v>
      </c>
      <c r="Q7" s="898">
        <v>0</v>
      </c>
      <c r="R7" s="898">
        <f t="shared" ref="R7:R12" si="0">N7</f>
        <v>9</v>
      </c>
      <c r="S7" s="898" t="s">
        <v>946</v>
      </c>
      <c r="T7" s="898">
        <f>ROUND(I7/100*R7,0)</f>
        <v>1767</v>
      </c>
      <c r="U7" s="4"/>
    </row>
    <row r="8" spans="1:25" s="538" customFormat="1" ht="61.5" customHeight="1">
      <c r="A8" s="897">
        <v>2</v>
      </c>
      <c r="B8" s="897" t="s">
        <v>888</v>
      </c>
      <c r="C8" s="898" t="s">
        <v>948</v>
      </c>
      <c r="D8" s="898">
        <v>2003</v>
      </c>
      <c r="E8" s="898" t="s">
        <v>897</v>
      </c>
      <c r="F8" s="899">
        <v>6873</v>
      </c>
      <c r="G8" s="898" t="s">
        <v>946</v>
      </c>
      <c r="H8" s="898" t="s">
        <v>946</v>
      </c>
      <c r="I8" s="899">
        <v>6873</v>
      </c>
      <c r="J8" s="898" t="s">
        <v>946</v>
      </c>
      <c r="K8" s="898" t="s">
        <v>946</v>
      </c>
      <c r="L8" s="898" t="s">
        <v>881</v>
      </c>
      <c r="M8" s="898" t="s">
        <v>947</v>
      </c>
      <c r="N8" s="898">
        <v>13</v>
      </c>
      <c r="O8" s="898" t="s">
        <v>946</v>
      </c>
      <c r="P8" s="898">
        <v>0</v>
      </c>
      <c r="Q8" s="898">
        <v>0</v>
      </c>
      <c r="R8" s="898">
        <f t="shared" si="0"/>
        <v>13</v>
      </c>
      <c r="S8" s="898" t="s">
        <v>946</v>
      </c>
      <c r="T8" s="898">
        <f>ROUND(I8/100*R8,0)</f>
        <v>893</v>
      </c>
      <c r="U8" s="730"/>
    </row>
    <row r="9" spans="1:25" ht="61.5" customHeight="1">
      <c r="A9" s="897">
        <v>3</v>
      </c>
      <c r="B9" s="897" t="s">
        <v>884</v>
      </c>
      <c r="C9" s="898" t="s">
        <v>949</v>
      </c>
      <c r="D9" s="898">
        <v>1993</v>
      </c>
      <c r="E9" s="898" t="s">
        <v>880</v>
      </c>
      <c r="F9" s="899">
        <v>9889</v>
      </c>
      <c r="G9" s="898" t="s">
        <v>946</v>
      </c>
      <c r="H9" s="898" t="s">
        <v>946</v>
      </c>
      <c r="I9" s="899">
        <v>9889</v>
      </c>
      <c r="J9" s="898" t="s">
        <v>946</v>
      </c>
      <c r="K9" s="898" t="s">
        <v>946</v>
      </c>
      <c r="L9" s="898" t="s">
        <v>881</v>
      </c>
      <c r="M9" s="898" t="s">
        <v>947</v>
      </c>
      <c r="N9" s="898">
        <v>23</v>
      </c>
      <c r="O9" s="898" t="s">
        <v>946</v>
      </c>
      <c r="P9" s="898">
        <v>0</v>
      </c>
      <c r="Q9" s="898">
        <v>0</v>
      </c>
      <c r="R9" s="898">
        <f t="shared" si="0"/>
        <v>23</v>
      </c>
      <c r="S9" s="898" t="s">
        <v>946</v>
      </c>
      <c r="T9" s="898">
        <f>ROUND(I9/100*R9,0)</f>
        <v>2274</v>
      </c>
      <c r="U9" s="4"/>
      <c r="V9" s="759" t="s">
        <v>909</v>
      </c>
      <c r="W9" s="6"/>
      <c r="X9" s="6"/>
      <c r="Y9" s="6"/>
    </row>
    <row r="10" spans="1:25" ht="66.75" customHeight="1">
      <c r="A10" s="897">
        <v>4</v>
      </c>
      <c r="B10" s="897" t="s">
        <v>887</v>
      </c>
      <c r="C10" s="898" t="s">
        <v>950</v>
      </c>
      <c r="D10" s="898">
        <v>1994</v>
      </c>
      <c r="E10" s="898" t="s">
        <v>880</v>
      </c>
      <c r="F10" s="899">
        <v>16216</v>
      </c>
      <c r="G10" s="898" t="s">
        <v>946</v>
      </c>
      <c r="H10" s="898" t="s">
        <v>946</v>
      </c>
      <c r="I10" s="899">
        <v>16216</v>
      </c>
      <c r="J10" s="898" t="s">
        <v>946</v>
      </c>
      <c r="K10" s="898" t="s">
        <v>946</v>
      </c>
      <c r="L10" s="898" t="s">
        <v>951</v>
      </c>
      <c r="M10" s="898" t="s">
        <v>947</v>
      </c>
      <c r="N10" s="898">
        <v>20.6</v>
      </c>
      <c r="O10" s="898" t="s">
        <v>946</v>
      </c>
      <c r="P10" s="898">
        <v>0</v>
      </c>
      <c r="Q10" s="898">
        <v>0</v>
      </c>
      <c r="R10" s="898">
        <f t="shared" si="0"/>
        <v>20.6</v>
      </c>
      <c r="S10" s="898" t="s">
        <v>946</v>
      </c>
      <c r="T10" s="898">
        <f>ROUND(I10/100*R10,0)</f>
        <v>3340</v>
      </c>
      <c r="U10" s="4"/>
      <c r="V10" s="760" t="s">
        <v>910</v>
      </c>
      <c r="W10" s="749"/>
      <c r="X10" s="6"/>
      <c r="Y10" s="6"/>
    </row>
    <row r="11" spans="1:25" ht="63.75" customHeight="1">
      <c r="A11" s="897">
        <v>5</v>
      </c>
      <c r="B11" s="897" t="s">
        <v>885</v>
      </c>
      <c r="C11" s="898" t="s">
        <v>952</v>
      </c>
      <c r="D11" s="898">
        <v>2000</v>
      </c>
      <c r="E11" s="898" t="s">
        <v>897</v>
      </c>
      <c r="F11" s="899">
        <v>13478</v>
      </c>
      <c r="G11" s="900" t="s">
        <v>946</v>
      </c>
      <c r="H11" s="898" t="s">
        <v>946</v>
      </c>
      <c r="I11" s="899">
        <v>13478</v>
      </c>
      <c r="J11" s="898" t="s">
        <v>946</v>
      </c>
      <c r="K11" s="898" t="s">
        <v>946</v>
      </c>
      <c r="L11" s="898" t="s">
        <v>953</v>
      </c>
      <c r="M11" s="898" t="s">
        <v>947</v>
      </c>
      <c r="N11" s="898">
        <v>18</v>
      </c>
      <c r="O11" s="898" t="s">
        <v>946</v>
      </c>
      <c r="P11" s="898">
        <v>0</v>
      </c>
      <c r="Q11" s="898">
        <v>0</v>
      </c>
      <c r="R11" s="898">
        <f t="shared" si="0"/>
        <v>18</v>
      </c>
      <c r="S11" s="898" t="s">
        <v>946</v>
      </c>
      <c r="T11" s="898">
        <f>ROUND(I11/100*R11,0)</f>
        <v>2426</v>
      </c>
      <c r="U11" s="4"/>
      <c r="V11" s="759" t="s">
        <v>912</v>
      </c>
      <c r="W11" s="749"/>
      <c r="X11" s="6"/>
      <c r="Y11" s="6"/>
    </row>
    <row r="12" spans="1:25" ht="64.5" customHeight="1">
      <c r="A12" s="897">
        <v>6</v>
      </c>
      <c r="B12" s="897" t="s">
        <v>914</v>
      </c>
      <c r="C12" s="898" t="s">
        <v>954</v>
      </c>
      <c r="D12" s="898">
        <v>2017</v>
      </c>
      <c r="E12" s="898" t="s">
        <v>880</v>
      </c>
      <c r="F12" s="899">
        <v>0</v>
      </c>
      <c r="G12" s="901">
        <v>1014</v>
      </c>
      <c r="H12" s="898" t="s">
        <v>946</v>
      </c>
      <c r="I12" s="899">
        <v>0</v>
      </c>
      <c r="J12" s="898">
        <v>1014</v>
      </c>
      <c r="K12" s="898" t="s">
        <v>946</v>
      </c>
      <c r="L12" s="898" t="s">
        <v>882</v>
      </c>
      <c r="M12" s="898" t="s">
        <v>947</v>
      </c>
      <c r="N12" s="898" t="s">
        <v>946</v>
      </c>
      <c r="O12" s="900">
        <v>5</v>
      </c>
      <c r="P12" s="898">
        <v>0</v>
      </c>
      <c r="Q12" s="898">
        <v>0</v>
      </c>
      <c r="R12" s="898" t="str">
        <f t="shared" si="0"/>
        <v>х</v>
      </c>
      <c r="S12" s="900">
        <f>O12</f>
        <v>5</v>
      </c>
      <c r="T12" s="898">
        <f>J12*O12</f>
        <v>5070</v>
      </c>
      <c r="U12" s="4"/>
      <c r="V12" s="759" t="s">
        <v>913</v>
      </c>
      <c r="W12" s="752"/>
      <c r="X12" s="6"/>
      <c r="Y12" s="6"/>
    </row>
    <row r="13" spans="1:25" ht="34.5" customHeight="1">
      <c r="A13" s="726"/>
      <c r="B13" s="726"/>
      <c r="C13" s="792"/>
      <c r="D13" s="792"/>
      <c r="E13" s="727"/>
      <c r="F13" s="727"/>
      <c r="G13" s="727"/>
      <c r="H13" s="727"/>
      <c r="I13" s="727"/>
      <c r="J13" s="727"/>
      <c r="K13" s="727"/>
      <c r="L13" s="727"/>
      <c r="M13" s="727"/>
      <c r="N13" s="727"/>
      <c r="O13" s="727"/>
      <c r="P13" s="727"/>
      <c r="Q13" s="727"/>
      <c r="R13" s="727"/>
      <c r="S13" s="727"/>
      <c r="T13" s="728"/>
      <c r="V13" s="760" t="s">
        <v>911</v>
      </c>
      <c r="W13" s="750"/>
      <c r="X13" s="6"/>
      <c r="Y13" s="6"/>
    </row>
    <row r="14" spans="1:25">
      <c r="A14" s="729"/>
      <c r="B14" s="729"/>
      <c r="C14" s="753"/>
      <c r="D14" s="753"/>
      <c r="E14" s="729"/>
      <c r="F14" s="729"/>
      <c r="G14" s="729"/>
      <c r="H14" s="729"/>
      <c r="I14" s="729"/>
      <c r="J14" s="729"/>
      <c r="K14" s="729"/>
      <c r="L14" s="729"/>
      <c r="M14" s="729"/>
      <c r="N14" s="729"/>
      <c r="O14" s="729"/>
      <c r="P14" s="729"/>
      <c r="Q14" s="729"/>
      <c r="R14" s="729"/>
      <c r="S14" s="729"/>
      <c r="T14" s="729"/>
    </row>
    <row r="15" spans="1:25" s="640" customFormat="1" ht="18.75">
      <c r="A15" s="1416" t="s">
        <v>368</v>
      </c>
      <c r="B15" s="1416"/>
      <c r="C15" s="1416"/>
      <c r="D15" s="902"/>
      <c r="E15" s="754"/>
      <c r="F15" s="903"/>
      <c r="G15" s="904"/>
      <c r="H15" s="904"/>
      <c r="I15" s="904"/>
      <c r="J15" s="905"/>
      <c r="K15" s="904"/>
      <c r="L15" s="904"/>
      <c r="M15" s="904"/>
      <c r="N15" s="904"/>
      <c r="O15" s="904"/>
      <c r="P15" s="904"/>
      <c r="Q15" s="902"/>
      <c r="R15" s="1591" t="s">
        <v>369</v>
      </c>
      <c r="S15" s="1591"/>
      <c r="T15" s="1591"/>
    </row>
    <row r="16" spans="1:25" s="559" customFormat="1" ht="15.75">
      <c r="A16" s="753"/>
      <c r="B16" s="753"/>
      <c r="C16" s="753"/>
      <c r="D16" s="753"/>
      <c r="E16" s="757"/>
      <c r="F16" s="755"/>
      <c r="G16" s="756"/>
      <c r="H16" s="756"/>
      <c r="I16" s="756"/>
      <c r="J16" s="758"/>
      <c r="K16" s="756"/>
      <c r="L16" s="756"/>
      <c r="M16" s="756"/>
      <c r="N16" s="756"/>
      <c r="O16" s="756"/>
      <c r="P16" s="756"/>
      <c r="Q16" s="753"/>
      <c r="R16" s="753"/>
      <c r="S16" s="753"/>
      <c r="T16" s="753"/>
    </row>
    <row r="17" spans="3:4" s="538" customFormat="1">
      <c r="C17" s="559"/>
      <c r="D17" s="559"/>
    </row>
  </sheetData>
  <mergeCells count="24">
    <mergeCell ref="S1:T1"/>
    <mergeCell ref="R15:T15"/>
    <mergeCell ref="R4:R5"/>
    <mergeCell ref="L3:L5"/>
    <mergeCell ref="T3:T5"/>
    <mergeCell ref="A2:T2"/>
    <mergeCell ref="A3:A5"/>
    <mergeCell ref="P3:Q3"/>
    <mergeCell ref="N4:N5"/>
    <mergeCell ref="O4:O5"/>
    <mergeCell ref="F4:F5"/>
    <mergeCell ref="B3:B5"/>
    <mergeCell ref="C3:C5"/>
    <mergeCell ref="D3:D5"/>
    <mergeCell ref="E3:E5"/>
    <mergeCell ref="F3:H3"/>
    <mergeCell ref="N3:O3"/>
    <mergeCell ref="S4:S5"/>
    <mergeCell ref="R3:S3"/>
    <mergeCell ref="G4:H4"/>
    <mergeCell ref="I4:I5"/>
    <mergeCell ref="I3:K3"/>
    <mergeCell ref="J4:K4"/>
    <mergeCell ref="M3:M5"/>
  </mergeCells>
  <phoneticPr fontId="51" type="noConversion"/>
  <dataValidations count="1">
    <dataValidation type="list" allowBlank="1" showInputMessage="1" showErrorMessage="1" sqref="IT65533:IT65536">
      <formula1>$E$19:$E$25</formula1>
    </dataValidation>
  </dataValidations>
  <pageMargins left="0.70866141732283472" right="0.51181102362204722" top="0.74803149606299213" bottom="0.74803149606299213" header="0.31496062992125984" footer="0.31496062992125984"/>
  <pageSetup paperSize="9" scale="7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>
    <pageSetUpPr fitToPage="1"/>
  </sheetPr>
  <dimension ref="A1:S16"/>
  <sheetViews>
    <sheetView zoomScaleSheetLayoutView="100" zoomScalePageLayoutView="80" workbookViewId="0">
      <selection activeCell="M16" sqref="M16:P16"/>
    </sheetView>
  </sheetViews>
  <sheetFormatPr defaultColWidth="13.7109375" defaultRowHeight="12.75"/>
  <cols>
    <col min="1" max="1" width="4.140625" style="794" customWidth="1"/>
    <col min="2" max="2" width="15" style="794" customWidth="1"/>
    <col min="3" max="3" width="5.85546875" style="793" customWidth="1"/>
    <col min="4" max="4" width="5.7109375" style="793" customWidth="1"/>
    <col min="5" max="5" width="21.28515625" style="794" customWidth="1"/>
    <col min="6" max="6" width="9.140625" style="794" customWidth="1"/>
    <col min="7" max="7" width="7.5703125" style="794" customWidth="1"/>
    <col min="8" max="8" width="6.85546875" style="794" customWidth="1"/>
    <col min="9" max="9" width="13.5703125" style="793" customWidth="1"/>
    <col min="10" max="15" width="6.42578125" style="794" customWidth="1"/>
    <col min="16" max="16" width="7.5703125" style="794" customWidth="1"/>
    <col min="17" max="17" width="6.85546875" style="794" customWidth="1"/>
    <col min="18" max="18" width="6.140625" style="794" customWidth="1"/>
    <col min="19" max="240" width="9.140625" style="794" customWidth="1"/>
    <col min="241" max="241" width="4.140625" style="794" customWidth="1"/>
    <col min="242" max="242" width="12.5703125" style="794" customWidth="1"/>
    <col min="243" max="243" width="5.28515625" style="794" customWidth="1"/>
    <col min="244" max="244" width="5.7109375" style="794" customWidth="1"/>
    <col min="245" max="16384" width="13.7109375" style="794"/>
  </cols>
  <sheetData>
    <row r="1" spans="1:19" ht="45" customHeight="1">
      <c r="P1" s="1629" t="s">
        <v>223</v>
      </c>
      <c r="Q1" s="1629"/>
      <c r="R1" s="1629"/>
    </row>
    <row r="2" spans="1:19" s="793" customFormat="1" ht="48" customHeight="1">
      <c r="A2" s="1630" t="s">
        <v>341</v>
      </c>
      <c r="B2" s="1630"/>
      <c r="C2" s="1630"/>
      <c r="D2" s="1630"/>
      <c r="E2" s="1630"/>
      <c r="F2" s="1630"/>
      <c r="G2" s="1630"/>
      <c r="H2" s="1630"/>
      <c r="I2" s="1630"/>
      <c r="J2" s="1630"/>
      <c r="K2" s="1630"/>
      <c r="L2" s="1630"/>
      <c r="M2" s="1630"/>
      <c r="N2" s="1630"/>
      <c r="O2" s="1630"/>
      <c r="P2" s="1630"/>
      <c r="Q2" s="1630"/>
      <c r="R2" s="1630"/>
    </row>
    <row r="3" spans="1:19" ht="26.25" customHeight="1">
      <c r="A3" s="1613" t="s">
        <v>430</v>
      </c>
      <c r="B3" s="1613" t="s">
        <v>861</v>
      </c>
      <c r="C3" s="1614" t="s">
        <v>862</v>
      </c>
      <c r="D3" s="1614" t="s">
        <v>863</v>
      </c>
      <c r="E3" s="1631" t="s">
        <v>864</v>
      </c>
      <c r="F3" s="1634" t="s">
        <v>901</v>
      </c>
      <c r="G3" s="1623" t="s">
        <v>339</v>
      </c>
      <c r="H3" s="1624"/>
      <c r="I3" s="1605" t="s">
        <v>340</v>
      </c>
      <c r="J3" s="1606"/>
      <c r="K3" s="1606"/>
      <c r="L3" s="1606"/>
      <c r="M3" s="1606"/>
      <c r="N3" s="1606"/>
      <c r="O3" s="1606"/>
      <c r="P3" s="1617" t="s">
        <v>342</v>
      </c>
      <c r="Q3" s="1618"/>
      <c r="R3" s="1619"/>
    </row>
    <row r="4" spans="1:19" ht="42" customHeight="1">
      <c r="A4" s="1613"/>
      <c r="B4" s="1613"/>
      <c r="C4" s="1615"/>
      <c r="D4" s="1615"/>
      <c r="E4" s="1632"/>
      <c r="F4" s="1632"/>
      <c r="G4" s="1625"/>
      <c r="H4" s="1626"/>
      <c r="I4" s="1608" t="s">
        <v>902</v>
      </c>
      <c r="J4" s="1611" t="s">
        <v>903</v>
      </c>
      <c r="K4" s="1612"/>
      <c r="L4" s="1612"/>
      <c r="M4" s="1612"/>
      <c r="N4" s="1612"/>
      <c r="O4" s="1612"/>
      <c r="P4" s="1620"/>
      <c r="Q4" s="1621"/>
      <c r="R4" s="1622"/>
    </row>
    <row r="5" spans="1:19" ht="26.25" customHeight="1">
      <c r="A5" s="1613"/>
      <c r="B5" s="1613"/>
      <c r="C5" s="1615"/>
      <c r="D5" s="1615"/>
      <c r="E5" s="1632"/>
      <c r="F5" s="1632"/>
      <c r="G5" s="1627"/>
      <c r="H5" s="1628"/>
      <c r="I5" s="1609"/>
      <c r="J5" s="1601" t="s">
        <v>900</v>
      </c>
      <c r="K5" s="1602"/>
      <c r="L5" s="1601" t="s">
        <v>958</v>
      </c>
      <c r="M5" s="1602"/>
      <c r="N5" s="1601" t="s">
        <v>959</v>
      </c>
      <c r="O5" s="1602"/>
      <c r="P5" s="1607" t="str">
        <f>$J$5</f>
        <v>Моторне мастило</v>
      </c>
      <c r="Q5" s="1607" t="str">
        <f>$L$5</f>
        <v>Трансмісійне мастило</v>
      </c>
      <c r="R5" s="1607" t="str">
        <f>$N$5</f>
        <v>Солідол</v>
      </c>
    </row>
    <row r="6" spans="1:19" ht="60.75" customHeight="1">
      <c r="A6" s="1613"/>
      <c r="B6" s="1613"/>
      <c r="C6" s="1616"/>
      <c r="D6" s="1616"/>
      <c r="E6" s="1633"/>
      <c r="F6" s="1633"/>
      <c r="G6" s="795" t="s">
        <v>904</v>
      </c>
      <c r="H6" s="795" t="s">
        <v>905</v>
      </c>
      <c r="I6" s="1610"/>
      <c r="J6" s="796" t="s">
        <v>906</v>
      </c>
      <c r="K6" s="796" t="s">
        <v>907</v>
      </c>
      <c r="L6" s="796" t="s">
        <v>906</v>
      </c>
      <c r="M6" s="796" t="s">
        <v>907</v>
      </c>
      <c r="N6" s="796" t="s">
        <v>906</v>
      </c>
      <c r="O6" s="796" t="s">
        <v>907</v>
      </c>
      <c r="P6" s="1607"/>
      <c r="Q6" s="1607"/>
      <c r="R6" s="1607"/>
    </row>
    <row r="7" spans="1:19" ht="15">
      <c r="A7" s="797">
        <v>1</v>
      </c>
      <c r="B7" s="797">
        <v>2</v>
      </c>
      <c r="C7" s="798">
        <v>3</v>
      </c>
      <c r="D7" s="798">
        <v>4</v>
      </c>
      <c r="E7" s="797">
        <v>5</v>
      </c>
      <c r="F7" s="797">
        <v>6</v>
      </c>
      <c r="G7" s="797">
        <v>7</v>
      </c>
      <c r="H7" s="798">
        <v>8</v>
      </c>
      <c r="I7" s="798">
        <v>9</v>
      </c>
      <c r="J7" s="797">
        <v>10</v>
      </c>
      <c r="K7" s="797">
        <v>11</v>
      </c>
      <c r="L7" s="797">
        <v>12</v>
      </c>
      <c r="M7" s="798">
        <v>13</v>
      </c>
      <c r="N7" s="798">
        <v>14</v>
      </c>
      <c r="O7" s="797">
        <v>15</v>
      </c>
      <c r="P7" s="797">
        <v>16</v>
      </c>
      <c r="Q7" s="797">
        <v>17</v>
      </c>
      <c r="R7" s="798">
        <v>18</v>
      </c>
    </row>
    <row r="8" spans="1:19" ht="63">
      <c r="A8" s="882">
        <v>1</v>
      </c>
      <c r="B8" s="883" t="s">
        <v>886</v>
      </c>
      <c r="C8" s="884" t="s">
        <v>945</v>
      </c>
      <c r="D8" s="884">
        <v>2005</v>
      </c>
      <c r="E8" s="885" t="s">
        <v>878</v>
      </c>
      <c r="F8" s="886">
        <f>'Витрати пального'!T7</f>
        <v>1767</v>
      </c>
      <c r="G8" s="887" t="s">
        <v>946</v>
      </c>
      <c r="H8" s="887" t="s">
        <v>946</v>
      </c>
      <c r="I8" s="884" t="s">
        <v>955</v>
      </c>
      <c r="J8" s="884">
        <v>1</v>
      </c>
      <c r="K8" s="887" t="s">
        <v>946</v>
      </c>
      <c r="L8" s="884">
        <v>0.1</v>
      </c>
      <c r="M8" s="887" t="s">
        <v>946</v>
      </c>
      <c r="N8" s="884">
        <v>0.1</v>
      </c>
      <c r="O8" s="887" t="s">
        <v>946</v>
      </c>
      <c r="P8" s="888">
        <f>F8/100*J8</f>
        <v>17.670000000000002</v>
      </c>
      <c r="Q8" s="888">
        <f>F8/100*L8</f>
        <v>1.7670000000000003</v>
      </c>
      <c r="R8" s="888">
        <f>F8/100*N8</f>
        <v>1.7670000000000003</v>
      </c>
    </row>
    <row r="9" spans="1:19" s="793" customFormat="1" ht="63">
      <c r="A9" s="889">
        <v>2</v>
      </c>
      <c r="B9" s="889" t="s">
        <v>888</v>
      </c>
      <c r="C9" s="884" t="s">
        <v>956</v>
      </c>
      <c r="D9" s="884">
        <v>2003</v>
      </c>
      <c r="E9" s="885" t="s">
        <v>897</v>
      </c>
      <c r="F9" s="890">
        <f>'Витрати пального'!T8</f>
        <v>893</v>
      </c>
      <c r="G9" s="884" t="s">
        <v>946</v>
      </c>
      <c r="H9" s="884" t="s">
        <v>946</v>
      </c>
      <c r="I9" s="884" t="s">
        <v>955</v>
      </c>
      <c r="J9" s="884">
        <v>1.7</v>
      </c>
      <c r="K9" s="884" t="s">
        <v>946</v>
      </c>
      <c r="L9" s="884">
        <v>0.15</v>
      </c>
      <c r="M9" s="884" t="s">
        <v>946</v>
      </c>
      <c r="N9" s="884">
        <v>0.1</v>
      </c>
      <c r="O9" s="884" t="s">
        <v>946</v>
      </c>
      <c r="P9" s="888">
        <f>F9/100*J9</f>
        <v>15.180999999999999</v>
      </c>
      <c r="Q9" s="888">
        <f>F9/100*L9</f>
        <v>1.3394999999999999</v>
      </c>
      <c r="R9" s="888">
        <f>F9/100*N9</f>
        <v>0.89300000000000002</v>
      </c>
      <c r="S9" s="818"/>
    </row>
    <row r="10" spans="1:19" ht="63">
      <c r="A10" s="882">
        <v>3</v>
      </c>
      <c r="B10" s="882" t="s">
        <v>884</v>
      </c>
      <c r="C10" s="891" t="s">
        <v>949</v>
      </c>
      <c r="D10" s="884">
        <v>1993</v>
      </c>
      <c r="E10" s="885" t="s">
        <v>880</v>
      </c>
      <c r="F10" s="886">
        <f>'Витрати пального'!T9</f>
        <v>2274</v>
      </c>
      <c r="G10" s="887" t="s">
        <v>946</v>
      </c>
      <c r="H10" s="887" t="s">
        <v>946</v>
      </c>
      <c r="I10" s="884" t="s">
        <v>955</v>
      </c>
      <c r="J10" s="884">
        <v>2.2000000000000002</v>
      </c>
      <c r="K10" s="887" t="s">
        <v>946</v>
      </c>
      <c r="L10" s="884">
        <v>0.25</v>
      </c>
      <c r="M10" s="887" t="s">
        <v>946</v>
      </c>
      <c r="N10" s="884">
        <v>0.1</v>
      </c>
      <c r="O10" s="887" t="s">
        <v>946</v>
      </c>
      <c r="P10" s="888">
        <f>F10/100*J10</f>
        <v>50.027999999999999</v>
      </c>
      <c r="Q10" s="888">
        <f>F10/100*L10</f>
        <v>5.6849999999999996</v>
      </c>
      <c r="R10" s="888">
        <f>F10/100*N10</f>
        <v>2.274</v>
      </c>
    </row>
    <row r="11" spans="1:19" ht="63">
      <c r="A11" s="882">
        <v>4</v>
      </c>
      <c r="B11" s="882" t="s">
        <v>887</v>
      </c>
      <c r="C11" s="884" t="s">
        <v>950</v>
      </c>
      <c r="D11" s="884">
        <v>1994</v>
      </c>
      <c r="E11" s="885" t="s">
        <v>880</v>
      </c>
      <c r="F11" s="887">
        <f>'Витрати пального'!T10</f>
        <v>3340</v>
      </c>
      <c r="G11" s="887" t="s">
        <v>946</v>
      </c>
      <c r="H11" s="887" t="s">
        <v>946</v>
      </c>
      <c r="I11" s="884" t="s">
        <v>955</v>
      </c>
      <c r="J11" s="884">
        <v>1.8</v>
      </c>
      <c r="K11" s="887" t="s">
        <v>946</v>
      </c>
      <c r="L11" s="884">
        <v>0.15</v>
      </c>
      <c r="M11" s="887" t="s">
        <v>946</v>
      </c>
      <c r="N11" s="884">
        <v>0.25</v>
      </c>
      <c r="O11" s="887" t="s">
        <v>946</v>
      </c>
      <c r="P11" s="888">
        <f>F11/100*J11</f>
        <v>60.12</v>
      </c>
      <c r="Q11" s="888">
        <f>F11/100*L11</f>
        <v>5.01</v>
      </c>
      <c r="R11" s="888">
        <f>F11/100*N11</f>
        <v>8.35</v>
      </c>
    </row>
    <row r="12" spans="1:19" ht="63">
      <c r="A12" s="882">
        <v>5</v>
      </c>
      <c r="B12" s="882" t="s">
        <v>885</v>
      </c>
      <c r="C12" s="884" t="s">
        <v>952</v>
      </c>
      <c r="D12" s="884">
        <v>2000</v>
      </c>
      <c r="E12" s="885" t="s">
        <v>897</v>
      </c>
      <c r="F12" s="887">
        <f>'Витрати пального'!T11</f>
        <v>2426</v>
      </c>
      <c r="G12" s="887" t="s">
        <v>946</v>
      </c>
      <c r="H12" s="887" t="s">
        <v>946</v>
      </c>
      <c r="I12" s="884" t="s">
        <v>955</v>
      </c>
      <c r="J12" s="884">
        <v>1.8</v>
      </c>
      <c r="K12" s="887" t="s">
        <v>946</v>
      </c>
      <c r="L12" s="887">
        <v>0.15</v>
      </c>
      <c r="M12" s="887" t="s">
        <v>946</v>
      </c>
      <c r="N12" s="887">
        <v>0.1</v>
      </c>
      <c r="O12" s="887" t="s">
        <v>946</v>
      </c>
      <c r="P12" s="888">
        <f>F12/100*J12</f>
        <v>43.668000000000006</v>
      </c>
      <c r="Q12" s="888">
        <f>F12/100*L12</f>
        <v>3.6390000000000002</v>
      </c>
      <c r="R12" s="888">
        <f>F12/100*N12</f>
        <v>2.4260000000000002</v>
      </c>
    </row>
    <row r="13" spans="1:19" ht="31.5">
      <c r="A13" s="882">
        <v>6</v>
      </c>
      <c r="B13" s="882" t="s">
        <v>914</v>
      </c>
      <c r="C13" s="884" t="s">
        <v>954</v>
      </c>
      <c r="D13" s="884">
        <v>2017</v>
      </c>
      <c r="E13" s="885" t="s">
        <v>880</v>
      </c>
      <c r="F13" s="887">
        <v>0</v>
      </c>
      <c r="G13" s="887" t="s">
        <v>957</v>
      </c>
      <c r="H13" s="887">
        <f>'Витрати пального'!J12</f>
        <v>1014</v>
      </c>
      <c r="I13" s="884" t="s">
        <v>908</v>
      </c>
      <c r="J13" s="892">
        <v>0</v>
      </c>
      <c r="K13" s="892">
        <v>0.224</v>
      </c>
      <c r="L13" s="887">
        <v>0</v>
      </c>
      <c r="M13" s="887">
        <v>4.3999999999999997E-2</v>
      </c>
      <c r="N13" s="887">
        <v>0</v>
      </c>
      <c r="O13" s="887">
        <v>1.7999999999999999E-2</v>
      </c>
      <c r="P13" s="888">
        <f>H13*K13</f>
        <v>227.136</v>
      </c>
      <c r="Q13" s="888">
        <f>H13*M13</f>
        <v>44.616</v>
      </c>
      <c r="R13" s="884">
        <f>H13*O13</f>
        <v>18.251999999999999</v>
      </c>
    </row>
    <row r="14" spans="1:19">
      <c r="A14" s="799"/>
      <c r="B14" s="799"/>
      <c r="C14" s="800"/>
      <c r="D14" s="800"/>
      <c r="E14" s="801"/>
      <c r="F14" s="802"/>
      <c r="G14" s="802"/>
      <c r="H14" s="802"/>
      <c r="I14" s="803"/>
      <c r="J14" s="802"/>
      <c r="K14" s="802"/>
      <c r="L14" s="802"/>
      <c r="M14" s="802"/>
      <c r="N14" s="802"/>
      <c r="O14" s="802"/>
      <c r="P14" s="802"/>
      <c r="Q14" s="802"/>
      <c r="R14" s="802"/>
    </row>
    <row r="15" spans="1:19">
      <c r="A15" s="799"/>
      <c r="B15" s="799"/>
      <c r="C15" s="800"/>
      <c r="D15" s="800"/>
      <c r="E15" s="801"/>
      <c r="F15" s="802"/>
      <c r="G15" s="802"/>
      <c r="H15" s="802"/>
      <c r="I15" s="803"/>
      <c r="J15" s="802"/>
      <c r="K15" s="802"/>
      <c r="L15" s="802"/>
      <c r="M15" s="802"/>
      <c r="N15" s="802"/>
      <c r="O15" s="802"/>
      <c r="P15" s="802"/>
      <c r="Q15" s="802"/>
      <c r="R15" s="802"/>
    </row>
    <row r="16" spans="1:19" s="896" customFormat="1" ht="18.75" customHeight="1">
      <c r="A16" s="893"/>
      <c r="B16" s="1603" t="s">
        <v>368</v>
      </c>
      <c r="C16" s="1603"/>
      <c r="D16" s="1603"/>
      <c r="E16" s="1603"/>
      <c r="F16" s="894"/>
      <c r="G16" s="894"/>
      <c r="H16" s="894"/>
      <c r="I16" s="895"/>
      <c r="J16" s="894"/>
      <c r="K16" s="894"/>
      <c r="L16" s="894"/>
      <c r="M16" s="1604" t="s">
        <v>369</v>
      </c>
      <c r="N16" s="1604"/>
      <c r="O16" s="1604"/>
      <c r="P16" s="1604"/>
      <c r="Q16" s="894"/>
      <c r="R16" s="894"/>
    </row>
  </sheetData>
  <mergeCells count="21">
    <mergeCell ref="P1:R1"/>
    <mergeCell ref="Q5:Q6"/>
    <mergeCell ref="R5:R6"/>
    <mergeCell ref="A2:R2"/>
    <mergeCell ref="A3:A6"/>
    <mergeCell ref="E3:E6"/>
    <mergeCell ref="N5:O5"/>
    <mergeCell ref="F3:F6"/>
    <mergeCell ref="J5:K5"/>
    <mergeCell ref="L5:M5"/>
    <mergeCell ref="B16:E16"/>
    <mergeCell ref="M16:P16"/>
    <mergeCell ref="I3:O3"/>
    <mergeCell ref="P5:P6"/>
    <mergeCell ref="I4:I6"/>
    <mergeCell ref="J4:O4"/>
    <mergeCell ref="B3:B6"/>
    <mergeCell ref="C3:C6"/>
    <mergeCell ref="D3:D6"/>
    <mergeCell ref="P3:R4"/>
    <mergeCell ref="G3:H5"/>
  </mergeCells>
  <phoneticPr fontId="51" type="noConversion"/>
  <dataValidations count="2">
    <dataValidation type="list" allowBlank="1" showInputMessage="1" showErrorMessage="1" sqref="IK14:IK16 E14:E15">
      <formula1>$E$25:$E$31</formula1>
    </dataValidation>
    <dataValidation type="list" allowBlank="1" showInputMessage="1" showErrorMessage="1" sqref="E8:E13">
      <formula1>$B$21:$B$27</formula1>
    </dataValidation>
  </dataValidations>
  <pageMargins left="0.70866141732283472" right="0.51181102362204722" top="0.74803149606299213" bottom="0.74803149606299213" header="0.31496062992125984" footer="0.31496062992125984"/>
  <pageSetup paperSize="9" scale="7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25">
    <pageSetUpPr fitToPage="1"/>
  </sheetPr>
  <dimension ref="A1:AB28"/>
  <sheetViews>
    <sheetView view="pageBreakPreview" topLeftCell="C10" zoomScaleSheetLayoutView="100" workbookViewId="0">
      <selection activeCell="O28" sqref="O28:R28"/>
    </sheetView>
  </sheetViews>
  <sheetFormatPr defaultRowHeight="12.75"/>
  <cols>
    <col min="1" max="1" width="9.28515625" customWidth="1"/>
    <col min="2" max="2" width="19.42578125" customWidth="1"/>
    <col min="3" max="3" width="8" customWidth="1"/>
    <col min="4" max="4" width="9.28515625" style="559" customWidth="1"/>
    <col min="5" max="5" width="11.7109375" style="559" customWidth="1"/>
    <col min="6" max="7" width="7.5703125" style="559" customWidth="1"/>
    <col min="8" max="8" width="11.140625" style="559" customWidth="1"/>
    <col min="9" max="9" width="9.140625" style="559"/>
    <col min="10" max="10" width="8.42578125" style="559" customWidth="1"/>
    <col min="11" max="11" width="11.7109375" customWidth="1"/>
    <col min="12" max="12" width="9.7109375" customWidth="1"/>
    <col min="13" max="13" width="11.140625" customWidth="1"/>
    <col min="14" max="15" width="10.85546875" customWidth="1"/>
    <col min="16" max="16" width="10.85546875" style="559" customWidth="1"/>
    <col min="17" max="17" width="10.85546875" customWidth="1"/>
    <col min="18" max="18" width="14.7109375" customWidth="1"/>
    <col min="20" max="20" width="10.42578125" customWidth="1"/>
    <col min="21" max="21" width="12" customWidth="1"/>
    <col min="22" max="22" width="14.7109375" customWidth="1"/>
  </cols>
  <sheetData>
    <row r="1" spans="1:28" ht="32.25" customHeight="1">
      <c r="Q1" s="1575" t="s">
        <v>224</v>
      </c>
      <c r="R1" s="1575"/>
    </row>
    <row r="2" spans="1:28" s="559" customFormat="1" ht="33" customHeight="1">
      <c r="A2" s="1655" t="s">
        <v>343</v>
      </c>
      <c r="B2" s="1655"/>
      <c r="C2" s="1655"/>
      <c r="D2" s="1655"/>
      <c r="E2" s="1655"/>
      <c r="F2" s="1655"/>
      <c r="G2" s="1655"/>
      <c r="H2" s="1655"/>
      <c r="I2" s="1655"/>
      <c r="J2" s="1655"/>
      <c r="K2" s="1655"/>
      <c r="L2" s="1655"/>
      <c r="M2" s="1655"/>
      <c r="N2" s="1655"/>
      <c r="O2" s="1655"/>
      <c r="P2" s="1655"/>
      <c r="Q2" s="1655"/>
      <c r="R2" s="1655"/>
      <c r="S2" s="906"/>
      <c r="T2" s="906"/>
      <c r="U2" s="906"/>
      <c r="V2" s="906"/>
      <c r="W2" s="748"/>
      <c r="X2" s="748"/>
      <c r="Y2" s="748"/>
    </row>
    <row r="3" spans="1:28" ht="15" customHeight="1">
      <c r="A3" s="1656" t="s">
        <v>889</v>
      </c>
      <c r="B3" s="1657"/>
      <c r="C3" s="1638" t="s">
        <v>344</v>
      </c>
      <c r="D3" s="1639"/>
      <c r="E3" s="1639"/>
      <c r="F3" s="1639"/>
      <c r="G3" s="1639"/>
      <c r="H3" s="1639"/>
      <c r="I3" s="1639"/>
      <c r="J3" s="1639"/>
      <c r="K3" s="1639"/>
      <c r="L3" s="1639"/>
      <c r="M3" s="1639"/>
      <c r="N3" s="1639"/>
      <c r="O3" s="1639"/>
      <c r="P3" s="1639"/>
      <c r="Q3" s="1639"/>
      <c r="R3" s="1648"/>
      <c r="S3" s="731"/>
      <c r="T3" s="731"/>
      <c r="U3" s="731"/>
      <c r="V3" s="731"/>
      <c r="W3" s="731"/>
      <c r="X3" s="731"/>
      <c r="Y3" s="732"/>
    </row>
    <row r="4" spans="1:28" ht="15" customHeight="1">
      <c r="A4" s="1658"/>
      <c r="B4" s="1659"/>
      <c r="C4" s="1662" t="s">
        <v>890</v>
      </c>
      <c r="D4" s="1663"/>
      <c r="E4" s="1663"/>
      <c r="F4" s="1663"/>
      <c r="G4" s="1663"/>
      <c r="H4" s="1663"/>
      <c r="I4" s="1663"/>
      <c r="J4" s="1663"/>
      <c r="K4" s="1663"/>
      <c r="L4" s="1663"/>
      <c r="M4" s="1663"/>
      <c r="N4" s="1663"/>
      <c r="O4" s="1663"/>
      <c r="P4" s="1663"/>
      <c r="Q4" s="1664"/>
      <c r="R4" s="1649" t="s">
        <v>995</v>
      </c>
      <c r="S4" s="731"/>
      <c r="T4" s="731"/>
      <c r="U4" s="731"/>
      <c r="V4" s="731"/>
      <c r="W4" s="731"/>
      <c r="X4" s="733"/>
      <c r="Y4" s="732"/>
    </row>
    <row r="5" spans="1:28" ht="15">
      <c r="A5" s="1658"/>
      <c r="B5" s="1659"/>
      <c r="C5" s="1652" t="s">
        <v>892</v>
      </c>
      <c r="D5" s="1653"/>
      <c r="E5" s="1654"/>
      <c r="F5" s="1645" t="s">
        <v>893</v>
      </c>
      <c r="G5" s="1646"/>
      <c r="H5" s="1647"/>
      <c r="I5" s="1635" t="s">
        <v>882</v>
      </c>
      <c r="J5" s="1635"/>
      <c r="K5" s="1635"/>
      <c r="L5" s="1653" t="s">
        <v>961</v>
      </c>
      <c r="M5" s="1653"/>
      <c r="N5" s="1654"/>
      <c r="O5" s="1635" t="s">
        <v>953</v>
      </c>
      <c r="P5" s="1635"/>
      <c r="Q5" s="1635"/>
      <c r="R5" s="1650"/>
      <c r="S5" s="734"/>
      <c r="T5" s="734"/>
      <c r="U5" s="734"/>
      <c r="V5" s="735"/>
      <c r="W5" s="734"/>
      <c r="X5" s="733"/>
      <c r="Y5" s="732"/>
    </row>
    <row r="6" spans="1:28" s="3" customFormat="1" ht="113.25" customHeight="1" thickBot="1">
      <c r="A6" s="1660"/>
      <c r="B6" s="1661"/>
      <c r="C6" s="736" t="s">
        <v>894</v>
      </c>
      <c r="D6" s="1390" t="s">
        <v>895</v>
      </c>
      <c r="E6" s="1390" t="s">
        <v>960</v>
      </c>
      <c r="F6" s="1390" t="s">
        <v>894</v>
      </c>
      <c r="G6" s="1390" t="s">
        <v>895</v>
      </c>
      <c r="H6" s="1390" t="s">
        <v>960</v>
      </c>
      <c r="I6" s="1390" t="s">
        <v>894</v>
      </c>
      <c r="J6" s="1390" t="s">
        <v>895</v>
      </c>
      <c r="K6" s="736" t="s">
        <v>960</v>
      </c>
      <c r="L6" s="736" t="s">
        <v>894</v>
      </c>
      <c r="M6" s="736" t="s">
        <v>895</v>
      </c>
      <c r="N6" s="736" t="s">
        <v>960</v>
      </c>
      <c r="O6" s="736" t="s">
        <v>894</v>
      </c>
      <c r="P6" s="1390" t="s">
        <v>895</v>
      </c>
      <c r="Q6" s="736" t="s">
        <v>960</v>
      </c>
      <c r="R6" s="1651"/>
      <c r="S6" s="737"/>
      <c r="T6" s="737"/>
      <c r="U6" s="737"/>
      <c r="V6" s="737"/>
      <c r="W6" s="737"/>
      <c r="X6" s="737"/>
      <c r="Y6" s="737"/>
    </row>
    <row r="7" spans="1:28" ht="30" customHeight="1" thickBot="1">
      <c r="A7" s="1642" t="s">
        <v>883</v>
      </c>
      <c r="B7" s="1643"/>
      <c r="C7" s="655">
        <v>0</v>
      </c>
      <c r="D7" s="1394">
        <v>22.02</v>
      </c>
      <c r="E7" s="1395">
        <f>C7*D7/1000</f>
        <v>0</v>
      </c>
      <c r="F7" s="1394">
        <v>0</v>
      </c>
      <c r="G7" s="1394">
        <v>22.38</v>
      </c>
      <c r="H7" s="1395">
        <f>F7*G7/1000</f>
        <v>0</v>
      </c>
      <c r="I7" s="1396">
        <v>0</v>
      </c>
      <c r="J7" s="1391">
        <v>23.23</v>
      </c>
      <c r="K7" s="656">
        <f>I7*J7/1000</f>
        <v>0</v>
      </c>
      <c r="L7" s="655">
        <v>0</v>
      </c>
      <c r="M7" s="655">
        <v>12.75</v>
      </c>
      <c r="N7" s="740">
        <f>L7*M7/1000</f>
        <v>0</v>
      </c>
      <c r="O7" s="739">
        <v>0</v>
      </c>
      <c r="P7" s="1391">
        <v>14.15</v>
      </c>
      <c r="Q7" s="738">
        <f>O7*P7/1000</f>
        <v>0</v>
      </c>
      <c r="R7" s="806">
        <f>E7+H7+K7+N7</f>
        <v>0</v>
      </c>
      <c r="S7" s="9"/>
      <c r="T7" s="9"/>
      <c r="U7" s="9"/>
      <c r="V7" s="9"/>
      <c r="W7" s="9"/>
      <c r="X7" s="6"/>
      <c r="Y7" s="6"/>
    </row>
    <row r="8" spans="1:28" ht="30" customHeight="1" thickBot="1">
      <c r="A8" s="1642" t="s">
        <v>880</v>
      </c>
      <c r="B8" s="1643"/>
      <c r="C8" s="655">
        <f>'Витрати пального'!T9</f>
        <v>2274</v>
      </c>
      <c r="D8" s="1394">
        <v>22.02</v>
      </c>
      <c r="E8" s="1395">
        <f>C8*D8/1000</f>
        <v>50.073479999999996</v>
      </c>
      <c r="F8" s="1394">
        <v>0</v>
      </c>
      <c r="G8" s="1394">
        <v>22.38</v>
      </c>
      <c r="H8" s="1395">
        <f>F8*G8/1000</f>
        <v>0</v>
      </c>
      <c r="I8" s="1396">
        <f>'Витрати пального'!T12</f>
        <v>5070</v>
      </c>
      <c r="J8" s="1391">
        <v>23.23</v>
      </c>
      <c r="K8" s="656">
        <f>I8*J8/1000</f>
        <v>117.7761</v>
      </c>
      <c r="L8" s="655">
        <f>'Витрати пального'!T10</f>
        <v>3340</v>
      </c>
      <c r="M8" s="655">
        <v>12.75</v>
      </c>
      <c r="N8" s="740">
        <f>L8*M8/1000</f>
        <v>42.585000000000001</v>
      </c>
      <c r="O8" s="739">
        <v>0</v>
      </c>
      <c r="P8" s="1391">
        <v>14.15</v>
      </c>
      <c r="Q8" s="738">
        <f>O8*P8/1000</f>
        <v>0</v>
      </c>
      <c r="R8" s="806">
        <f>E8+H8+K8+N8</f>
        <v>210.43458000000001</v>
      </c>
      <c r="S8" s="9"/>
      <c r="T8" s="9"/>
      <c r="U8" s="9"/>
      <c r="V8" s="9"/>
      <c r="W8" s="9"/>
      <c r="X8" s="6"/>
      <c r="Y8" s="6"/>
    </row>
    <row r="9" spans="1:28" ht="30" customHeight="1" thickBot="1">
      <c r="A9" s="1642" t="s">
        <v>896</v>
      </c>
      <c r="B9" s="1643"/>
      <c r="C9" s="655">
        <v>0</v>
      </c>
      <c r="D9" s="1394">
        <v>22.02</v>
      </c>
      <c r="E9" s="1395">
        <f>C9*D9/1000</f>
        <v>0</v>
      </c>
      <c r="F9" s="1394">
        <v>0</v>
      </c>
      <c r="G9" s="1394">
        <v>22.38</v>
      </c>
      <c r="H9" s="1395">
        <f>F9*G9/1000</f>
        <v>0</v>
      </c>
      <c r="I9" s="1396">
        <v>0</v>
      </c>
      <c r="J9" s="1391">
        <v>23.23</v>
      </c>
      <c r="K9" s="656">
        <f>I9*J9/1000</f>
        <v>0</v>
      </c>
      <c r="L9" s="655">
        <v>0</v>
      </c>
      <c r="M9" s="655">
        <v>12.75</v>
      </c>
      <c r="N9" s="740">
        <f>L9*M9/1000</f>
        <v>0</v>
      </c>
      <c r="O9" s="739">
        <v>0</v>
      </c>
      <c r="P9" s="1391">
        <v>14.15</v>
      </c>
      <c r="Q9" s="738">
        <f>O9*P9/1000</f>
        <v>0</v>
      </c>
      <c r="R9" s="806">
        <f>E9+H9+K9+N9</f>
        <v>0</v>
      </c>
      <c r="S9" s="6"/>
      <c r="T9" s="6"/>
      <c r="U9" s="6"/>
      <c r="V9" s="6"/>
      <c r="W9" s="6"/>
      <c r="X9" s="6"/>
      <c r="Y9" s="6"/>
    </row>
    <row r="10" spans="1:28" ht="30" customHeight="1" thickBot="1">
      <c r="A10" s="1642" t="s">
        <v>897</v>
      </c>
      <c r="B10" s="1644"/>
      <c r="C10" s="655">
        <f>'Витрати пального'!T8</f>
        <v>893</v>
      </c>
      <c r="D10" s="1394">
        <v>22.02</v>
      </c>
      <c r="E10" s="1395">
        <f>C10*D10/1000</f>
        <v>19.66386</v>
      </c>
      <c r="F10" s="1394">
        <v>0</v>
      </c>
      <c r="G10" s="1394">
        <v>22.38</v>
      </c>
      <c r="H10" s="1395">
        <f>F10*G10/1000</f>
        <v>0</v>
      </c>
      <c r="I10" s="1396">
        <v>0</v>
      </c>
      <c r="J10" s="1391">
        <v>23.23</v>
      </c>
      <c r="K10" s="656">
        <f>I10*J10/1000</f>
        <v>0</v>
      </c>
      <c r="L10" s="655">
        <v>0</v>
      </c>
      <c r="M10" s="655">
        <v>12.75</v>
      </c>
      <c r="N10" s="740">
        <f>L10*M10/1000</f>
        <v>0</v>
      </c>
      <c r="O10" s="739">
        <f>'Витрати пального'!T11</f>
        <v>2426</v>
      </c>
      <c r="P10" s="1391">
        <v>14.15</v>
      </c>
      <c r="Q10" s="738">
        <f>O10*P10/1000</f>
        <v>34.3279</v>
      </c>
      <c r="R10" s="806">
        <f>E10+H10+K10+N10</f>
        <v>19.66386</v>
      </c>
      <c r="S10" s="6"/>
      <c r="T10" s="6"/>
      <c r="U10" s="6"/>
      <c r="V10" s="6"/>
      <c r="W10" s="6"/>
      <c r="X10" s="6"/>
      <c r="Y10" s="6"/>
    </row>
    <row r="11" spans="1:28" ht="30" customHeight="1" thickBot="1">
      <c r="A11" s="1640" t="s">
        <v>878</v>
      </c>
      <c r="B11" s="1641"/>
      <c r="C11" s="741">
        <v>0</v>
      </c>
      <c r="D11" s="1394">
        <v>22.02</v>
      </c>
      <c r="E11" s="1395">
        <f>C11*D11/1000</f>
        <v>0</v>
      </c>
      <c r="F11" s="1397">
        <f>'Витрати пального'!T7</f>
        <v>1767</v>
      </c>
      <c r="G11" s="1394">
        <v>22.38</v>
      </c>
      <c r="H11" s="1395">
        <f>F11*G11/1000</f>
        <v>39.545459999999999</v>
      </c>
      <c r="I11" s="1398">
        <v>0</v>
      </c>
      <c r="J11" s="1391">
        <v>23.23</v>
      </c>
      <c r="K11" s="656">
        <f>I11*J11/1000</f>
        <v>0</v>
      </c>
      <c r="L11" s="741">
        <v>0</v>
      </c>
      <c r="M11" s="655">
        <v>12.75</v>
      </c>
      <c r="N11" s="740">
        <f>L11*M11/1000</f>
        <v>0</v>
      </c>
      <c r="O11" s="739">
        <v>0</v>
      </c>
      <c r="P11" s="1391">
        <v>14.15</v>
      </c>
      <c r="Q11" s="738">
        <f>O11*P11/1000</f>
        <v>0</v>
      </c>
      <c r="R11" s="806">
        <f>E11+H11+K11+N11</f>
        <v>39.545459999999999</v>
      </c>
      <c r="S11" s="9"/>
      <c r="T11" s="9"/>
      <c r="U11" s="743"/>
      <c r="V11" s="743"/>
      <c r="W11" s="744"/>
      <c r="X11" s="744"/>
      <c r="Y11" s="744"/>
      <c r="Z11" s="6"/>
      <c r="AA11" s="6"/>
      <c r="AB11" s="6"/>
    </row>
    <row r="12" spans="1:28" ht="30" customHeight="1" thickBot="1">
      <c r="A12" s="1636" t="s">
        <v>994</v>
      </c>
      <c r="B12" s="1637"/>
      <c r="C12" s="745">
        <f>SUM(C7:C11)</f>
        <v>3167</v>
      </c>
      <c r="D12" s="1399">
        <v>22.02</v>
      </c>
      <c r="E12" s="1400">
        <f>SUM(E7:E11)</f>
        <v>69.737339999999989</v>
      </c>
      <c r="F12" s="1399">
        <f>SUM(F7:F11)</f>
        <v>1767</v>
      </c>
      <c r="G12" s="1399">
        <v>22.38</v>
      </c>
      <c r="H12" s="1400">
        <f>SUM(H7:H11)</f>
        <v>39.545459999999999</v>
      </c>
      <c r="I12" s="1399">
        <f>SUM(I7:I11)</f>
        <v>5070</v>
      </c>
      <c r="J12" s="1401">
        <v>23.23</v>
      </c>
      <c r="K12" s="746">
        <f>SUM(K7:K11)</f>
        <v>117.7761</v>
      </c>
      <c r="L12" s="745">
        <f>SUM(L7:L11)</f>
        <v>3340</v>
      </c>
      <c r="M12" s="745">
        <v>12.75</v>
      </c>
      <c r="N12" s="746">
        <f>SUM(N7:N11)</f>
        <v>42.585000000000001</v>
      </c>
      <c r="O12" s="807">
        <f>SUM(O7:O11)</f>
        <v>2426</v>
      </c>
      <c r="P12" s="1392">
        <v>14.15</v>
      </c>
      <c r="Q12" s="807">
        <f>SUM(Q7:Q11)</f>
        <v>34.3279</v>
      </c>
      <c r="R12" s="747">
        <f>SUM(R7:R11)</f>
        <v>269.64390000000003</v>
      </c>
      <c r="S12" s="6"/>
      <c r="T12" s="6"/>
      <c r="U12" s="6"/>
      <c r="V12" s="6"/>
      <c r="W12" s="6"/>
      <c r="X12" s="6"/>
      <c r="Y12" s="6"/>
    </row>
    <row r="14" spans="1:28" ht="13.5" thickBot="1"/>
    <row r="15" spans="1:28" ht="15" customHeight="1" thickBot="1">
      <c r="A15" s="1656" t="s">
        <v>889</v>
      </c>
      <c r="B15" s="1657"/>
      <c r="C15" s="1638" t="s">
        <v>225</v>
      </c>
      <c r="D15" s="1639"/>
      <c r="E15" s="1639"/>
      <c r="F15" s="1639"/>
      <c r="G15" s="1639"/>
      <c r="H15" s="1639"/>
      <c r="I15" s="1639"/>
      <c r="J15" s="1639"/>
      <c r="K15" s="1639"/>
      <c r="L15" s="805"/>
      <c r="M15" s="1676" t="s">
        <v>898</v>
      </c>
      <c r="N15" s="808"/>
      <c r="O15" s="808"/>
      <c r="P15" s="1669"/>
      <c r="Q15" s="808"/>
      <c r="R15" s="808"/>
      <c r="S15" s="808"/>
      <c r="T15" s="808"/>
      <c r="U15" s="808"/>
      <c r="V15" s="1672"/>
      <c r="W15" s="731"/>
      <c r="X15" s="731"/>
      <c r="Y15" s="732"/>
    </row>
    <row r="16" spans="1:28" ht="15" customHeight="1" thickBot="1">
      <c r="A16" s="1658"/>
      <c r="B16" s="1659"/>
      <c r="C16" s="1638" t="s">
        <v>899</v>
      </c>
      <c r="D16" s="1639"/>
      <c r="E16" s="1639"/>
      <c r="F16" s="1639"/>
      <c r="G16" s="1639"/>
      <c r="H16" s="1639"/>
      <c r="I16" s="1639"/>
      <c r="J16" s="1639"/>
      <c r="K16" s="1639"/>
      <c r="L16" s="1675" t="s">
        <v>891</v>
      </c>
      <c r="M16" s="1676"/>
      <c r="N16" s="808"/>
      <c r="O16" s="1673"/>
      <c r="P16" s="1669"/>
      <c r="Q16" s="808"/>
      <c r="R16" s="808"/>
      <c r="S16" s="808"/>
      <c r="T16" s="808"/>
      <c r="U16" s="1673"/>
      <c r="V16" s="1672"/>
      <c r="W16" s="731"/>
      <c r="X16" s="733"/>
      <c r="Y16" s="732"/>
    </row>
    <row r="17" spans="1:25" ht="15.75" customHeight="1" thickBot="1">
      <c r="A17" s="1658"/>
      <c r="B17" s="1659"/>
      <c r="C17" s="1652" t="s">
        <v>900</v>
      </c>
      <c r="D17" s="1653"/>
      <c r="E17" s="1654"/>
      <c r="F17" s="1645" t="s">
        <v>958</v>
      </c>
      <c r="G17" s="1646"/>
      <c r="H17" s="1647"/>
      <c r="I17" s="1635" t="s">
        <v>959</v>
      </c>
      <c r="J17" s="1635"/>
      <c r="K17" s="1635"/>
      <c r="L17" s="1675"/>
      <c r="M17" s="1676"/>
      <c r="N17" s="814"/>
      <c r="O17" s="1673"/>
      <c r="P17" s="1669"/>
      <c r="Q17" s="809"/>
      <c r="R17" s="1674"/>
      <c r="S17" s="1674"/>
      <c r="T17" s="1674"/>
      <c r="U17" s="1673"/>
      <c r="V17" s="1672"/>
      <c r="W17" s="734"/>
      <c r="X17" s="733"/>
      <c r="Y17" s="732"/>
    </row>
    <row r="18" spans="1:25" s="3" customFormat="1" ht="111.75" customHeight="1" thickBot="1">
      <c r="A18" s="1660"/>
      <c r="B18" s="1661"/>
      <c r="C18" s="736" t="s">
        <v>894</v>
      </c>
      <c r="D18" s="1390" t="s">
        <v>895</v>
      </c>
      <c r="E18" s="1390" t="s">
        <v>526</v>
      </c>
      <c r="F18" s="1390" t="s">
        <v>894</v>
      </c>
      <c r="G18" s="1390" t="s">
        <v>895</v>
      </c>
      <c r="H18" s="1390" t="s">
        <v>526</v>
      </c>
      <c r="I18" s="1390" t="s">
        <v>894</v>
      </c>
      <c r="J18" s="1390" t="s">
        <v>895</v>
      </c>
      <c r="K18" s="736" t="s">
        <v>526</v>
      </c>
      <c r="L18" s="1675"/>
      <c r="M18" s="1676"/>
      <c r="N18" s="810"/>
      <c r="O18" s="1673"/>
      <c r="P18" s="1669"/>
      <c r="Q18" s="810"/>
      <c r="R18" s="810"/>
      <c r="S18" s="810"/>
      <c r="T18" s="810"/>
      <c r="U18" s="1673"/>
      <c r="V18" s="1672"/>
      <c r="W18" s="737"/>
      <c r="X18" s="737"/>
      <c r="Y18" s="737"/>
    </row>
    <row r="19" spans="1:25" ht="30" customHeight="1">
      <c r="A19" s="1642" t="s">
        <v>883</v>
      </c>
      <c r="B19" s="1643"/>
      <c r="C19" s="739">
        <v>0</v>
      </c>
      <c r="D19" s="1391">
        <v>150</v>
      </c>
      <c r="E19" s="1402">
        <f>C19*D19/1000</f>
        <v>0</v>
      </c>
      <c r="F19" s="1394">
        <v>0</v>
      </c>
      <c r="G19" s="1391">
        <v>90</v>
      </c>
      <c r="H19" s="1402">
        <f>F19*G19/1000</f>
        <v>0</v>
      </c>
      <c r="I19" s="1391">
        <v>0</v>
      </c>
      <c r="J19" s="1391">
        <v>88.75</v>
      </c>
      <c r="K19" s="817">
        <f>I19*J19/1000</f>
        <v>0</v>
      </c>
      <c r="L19" s="740">
        <f>E19+H19+K19</f>
        <v>0</v>
      </c>
      <c r="M19" s="907">
        <f>L19+R7</f>
        <v>0</v>
      </c>
      <c r="N19" s="804"/>
      <c r="O19" s="804"/>
      <c r="P19" s="1393"/>
      <c r="Q19" s="804"/>
      <c r="R19" s="811"/>
      <c r="S19" s="812"/>
      <c r="T19" s="660"/>
      <c r="U19" s="804"/>
      <c r="V19" s="813"/>
      <c r="W19" s="9"/>
      <c r="X19" s="6"/>
      <c r="Y19" s="6"/>
    </row>
    <row r="20" spans="1:25" ht="30" customHeight="1">
      <c r="A20" s="1642" t="s">
        <v>880</v>
      </c>
      <c r="B20" s="1643"/>
      <c r="C20" s="739">
        <f>'Витрати мастил'!P10+'Витрати мастил'!P11+'Витрати мастил'!P13</f>
        <v>337.28399999999999</v>
      </c>
      <c r="D20" s="1391">
        <v>150</v>
      </c>
      <c r="E20" s="1402">
        <f>C20*D20/1000</f>
        <v>50.592599999999997</v>
      </c>
      <c r="F20" s="1391">
        <f>'Витрати мастил'!Q10+'Витрати мастил'!Q11+'Витрати мастил'!Q13</f>
        <v>55.311</v>
      </c>
      <c r="G20" s="1391">
        <v>90</v>
      </c>
      <c r="H20" s="1402">
        <f>F20*G20/1000</f>
        <v>4.9779900000000001</v>
      </c>
      <c r="I20" s="1391">
        <f>'Витрати мастил'!R10+'Витрати мастил'!R11+'Витрати мастил'!R13</f>
        <v>28.875999999999998</v>
      </c>
      <c r="J20" s="1391">
        <v>88.75</v>
      </c>
      <c r="K20" s="817">
        <f>I20*J20/1000</f>
        <v>2.5627450000000001</v>
      </c>
      <c r="L20" s="740">
        <f>E20+H20+K20</f>
        <v>58.133334999999995</v>
      </c>
      <c r="M20" s="908">
        <f>L20+R8</f>
        <v>268.56791500000003</v>
      </c>
      <c r="N20" s="804"/>
      <c r="O20" s="804"/>
      <c r="P20" s="1393"/>
      <c r="Q20" s="804"/>
      <c r="R20" s="811"/>
      <c r="S20" s="812"/>
      <c r="T20" s="660"/>
      <c r="U20" s="804"/>
      <c r="V20" s="813"/>
      <c r="W20" s="9"/>
      <c r="X20" s="6"/>
      <c r="Y20" s="6"/>
    </row>
    <row r="21" spans="1:25" ht="30" customHeight="1">
      <c r="A21" s="1642" t="s">
        <v>896</v>
      </c>
      <c r="B21" s="1643"/>
      <c r="C21" s="655">
        <v>0</v>
      </c>
      <c r="D21" s="1391">
        <v>150</v>
      </c>
      <c r="E21" s="1402">
        <f>C21*D21/1000</f>
        <v>0</v>
      </c>
      <c r="F21" s="1394">
        <v>0</v>
      </c>
      <c r="G21" s="1391">
        <v>90</v>
      </c>
      <c r="H21" s="1402">
        <f>F21*G21/1000</f>
        <v>0</v>
      </c>
      <c r="I21" s="1396">
        <v>0</v>
      </c>
      <c r="J21" s="1391">
        <v>88.75</v>
      </c>
      <c r="K21" s="817">
        <f>I21*J21/1000</f>
        <v>0</v>
      </c>
      <c r="L21" s="740">
        <f>E21+H21+K21</f>
        <v>0</v>
      </c>
      <c r="M21" s="908">
        <f>L21+R9</f>
        <v>0</v>
      </c>
      <c r="N21" s="659"/>
      <c r="O21" s="804"/>
      <c r="P21" s="1393"/>
      <c r="Q21" s="659"/>
      <c r="R21" s="811"/>
      <c r="S21" s="812"/>
      <c r="T21" s="660"/>
      <c r="U21" s="804"/>
      <c r="V21" s="813"/>
      <c r="W21" s="6"/>
      <c r="X21" s="6"/>
      <c r="Y21" s="6"/>
    </row>
    <row r="22" spans="1:25" ht="30" customHeight="1">
      <c r="A22" s="1642" t="s">
        <v>897</v>
      </c>
      <c r="B22" s="1644"/>
      <c r="C22" s="739">
        <f>'Витрати мастил'!P9+'Витрати мастил'!P12</f>
        <v>58.849000000000004</v>
      </c>
      <c r="D22" s="1391">
        <v>150</v>
      </c>
      <c r="E22" s="1402">
        <f>C22*D22/1000</f>
        <v>8.8273500000000009</v>
      </c>
      <c r="F22" s="1391">
        <f>'Витрати мастил'!Q9+'Витрати мастил'!Q12</f>
        <v>4.9785000000000004</v>
      </c>
      <c r="G22" s="1391">
        <v>90</v>
      </c>
      <c r="H22" s="1402">
        <f>F22*G22/1000</f>
        <v>0.44806500000000005</v>
      </c>
      <c r="I22" s="1391">
        <f>'Витрати мастил'!R9+'Витрати мастил'!R12</f>
        <v>3.319</v>
      </c>
      <c r="J22" s="1391">
        <v>88.75</v>
      </c>
      <c r="K22" s="817">
        <f>I22*J22/1000</f>
        <v>0.29456125</v>
      </c>
      <c r="L22" s="740">
        <f>E22+H22+K22</f>
        <v>9.5699762499999999</v>
      </c>
      <c r="M22" s="908">
        <f>L22+R10</f>
        <v>29.23383625</v>
      </c>
      <c r="N22" s="804"/>
      <c r="O22" s="804"/>
      <c r="P22" s="1393"/>
      <c r="Q22" s="804"/>
      <c r="R22" s="811"/>
      <c r="S22" s="812"/>
      <c r="T22" s="660"/>
      <c r="U22" s="804"/>
      <c r="V22" s="813"/>
      <c r="W22" s="6"/>
      <c r="X22" s="6"/>
      <c r="Y22" s="6"/>
    </row>
    <row r="23" spans="1:25" ht="30" customHeight="1" thickBot="1">
      <c r="A23" s="1670" t="s">
        <v>878</v>
      </c>
      <c r="B23" s="1671"/>
      <c r="C23" s="742">
        <f>'Витрати мастил'!P8</f>
        <v>17.670000000000002</v>
      </c>
      <c r="D23" s="1391">
        <v>150</v>
      </c>
      <c r="E23" s="1402">
        <f>C23*D23/1000</f>
        <v>2.6505000000000005</v>
      </c>
      <c r="F23" s="1403">
        <f>'Витрати мастил'!Q8</f>
        <v>1.7670000000000003</v>
      </c>
      <c r="G23" s="1391">
        <v>90</v>
      </c>
      <c r="H23" s="1402">
        <f>F23*G23/1000</f>
        <v>0.15903000000000003</v>
      </c>
      <c r="I23" s="1403">
        <f>'Витрати мастил'!R8</f>
        <v>1.7670000000000003</v>
      </c>
      <c r="J23" s="1391">
        <v>88.75</v>
      </c>
      <c r="K23" s="817">
        <f>I23*J23/1000</f>
        <v>0.15682125000000002</v>
      </c>
      <c r="L23" s="740">
        <f>E23+H23+K23</f>
        <v>2.9663512500000007</v>
      </c>
      <c r="M23" s="909">
        <f>L23+R11</f>
        <v>42.511811250000001</v>
      </c>
      <c r="N23" s="804"/>
      <c r="O23" s="804"/>
      <c r="P23" s="1393"/>
      <c r="Q23" s="804"/>
      <c r="R23" s="812"/>
      <c r="S23" s="812"/>
      <c r="T23" s="804"/>
      <c r="U23" s="804"/>
      <c r="V23" s="813"/>
      <c r="W23" s="9"/>
      <c r="X23" s="6"/>
      <c r="Y23" s="6"/>
    </row>
    <row r="24" spans="1:25" ht="30" customHeight="1" thickBot="1">
      <c r="A24" s="1667" t="s">
        <v>994</v>
      </c>
      <c r="B24" s="1668"/>
      <c r="C24" s="746">
        <f>SUM(C19:C23)</f>
        <v>413.803</v>
      </c>
      <c r="D24" s="1400">
        <v>150</v>
      </c>
      <c r="E24" s="1404">
        <f>SUM(E19:E23)</f>
        <v>62.070450000000001</v>
      </c>
      <c r="F24" s="1405">
        <f>SUM(F19:F23)</f>
        <v>62.056500000000007</v>
      </c>
      <c r="G24" s="1400">
        <v>90</v>
      </c>
      <c r="H24" s="1404">
        <f>SUM(H19:H23)</f>
        <v>5.5850850000000003</v>
      </c>
      <c r="I24" s="1405">
        <f>SUM(I19:I23)</f>
        <v>33.962000000000003</v>
      </c>
      <c r="J24" s="1400">
        <v>88.75</v>
      </c>
      <c r="K24" s="816">
        <f>SUM(K19:K23)</f>
        <v>3.0141275000000003</v>
      </c>
      <c r="L24" s="815">
        <f>SUM(L19:L23)</f>
        <v>70.669662500000001</v>
      </c>
      <c r="M24" s="746">
        <f>SUM(M19:M23)</f>
        <v>340.31356250000005</v>
      </c>
      <c r="N24" s="804"/>
      <c r="O24" s="804"/>
      <c r="P24" s="1393"/>
      <c r="Q24" s="804"/>
      <c r="R24" s="812"/>
      <c r="S24" s="812"/>
      <c r="T24" s="804"/>
      <c r="U24" s="804"/>
      <c r="V24" s="813"/>
      <c r="W24" s="6"/>
      <c r="X24" s="6"/>
      <c r="Y24" s="6"/>
    </row>
    <row r="28" spans="1:25" ht="18.75">
      <c r="B28" s="1665" t="s">
        <v>368</v>
      </c>
      <c r="C28" s="1665"/>
      <c r="D28" s="1665"/>
      <c r="E28" s="1665"/>
      <c r="O28" s="1666" t="s">
        <v>369</v>
      </c>
      <c r="P28" s="1666"/>
      <c r="Q28" s="1666"/>
      <c r="R28" s="1666"/>
    </row>
  </sheetData>
  <mergeCells count="38">
    <mergeCell ref="V15:V18"/>
    <mergeCell ref="U16:U18"/>
    <mergeCell ref="C17:E17"/>
    <mergeCell ref="F17:H17"/>
    <mergeCell ref="I17:K17"/>
    <mergeCell ref="R17:T17"/>
    <mergeCell ref="C15:K15"/>
    <mergeCell ref="L16:L18"/>
    <mergeCell ref="M15:M18"/>
    <mergeCell ref="O16:O18"/>
    <mergeCell ref="B28:E28"/>
    <mergeCell ref="O28:R28"/>
    <mergeCell ref="A24:B24"/>
    <mergeCell ref="A15:B18"/>
    <mergeCell ref="A19:B19"/>
    <mergeCell ref="A20:B20"/>
    <mergeCell ref="A21:B21"/>
    <mergeCell ref="P15:P18"/>
    <mergeCell ref="A22:B22"/>
    <mergeCell ref="A23:B23"/>
    <mergeCell ref="Q1:R1"/>
    <mergeCell ref="F5:H5"/>
    <mergeCell ref="I5:K5"/>
    <mergeCell ref="C3:R3"/>
    <mergeCell ref="R4:R6"/>
    <mergeCell ref="C5:E5"/>
    <mergeCell ref="L5:N5"/>
    <mergeCell ref="A2:R2"/>
    <mergeCell ref="A3:B6"/>
    <mergeCell ref="C4:Q4"/>
    <mergeCell ref="O5:Q5"/>
    <mergeCell ref="A12:B12"/>
    <mergeCell ref="C16:K16"/>
    <mergeCell ref="A11:B11"/>
    <mergeCell ref="A8:B8"/>
    <mergeCell ref="A9:B9"/>
    <mergeCell ref="A10:B10"/>
    <mergeCell ref="A7:B7"/>
  </mergeCells>
  <phoneticPr fontId="51" type="noConversion"/>
  <pageMargins left="0.43307086614173229" right="0.19685039370078741" top="0.51181102362204722" bottom="0.51181102362204722" header="0.51181102362204722" footer="0.51181102362204722"/>
  <pageSetup paperSize="9" scale="65" orientation="landscape" verticalDpi="203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26"/>
  <dimension ref="A1:AC97"/>
  <sheetViews>
    <sheetView view="pageBreakPreview" topLeftCell="A4" zoomScale="75" zoomScaleSheetLayoutView="130" workbookViewId="0">
      <selection activeCell="D11" sqref="D11"/>
    </sheetView>
  </sheetViews>
  <sheetFormatPr defaultRowHeight="12.75"/>
  <cols>
    <col min="1" max="1" width="1" style="70" customWidth="1"/>
    <col min="2" max="2" width="53.7109375" style="70" customWidth="1"/>
    <col min="3" max="3" width="11.85546875" style="73" customWidth="1"/>
    <col min="4" max="4" width="10.7109375" style="70" customWidth="1"/>
    <col min="5" max="5" width="11.42578125" style="70" customWidth="1"/>
    <col min="6" max="6" width="10.140625" style="70" customWidth="1"/>
    <col min="7" max="7" width="10.42578125" style="70" customWidth="1"/>
    <col min="8" max="8" width="10.85546875" style="70" customWidth="1"/>
    <col min="9" max="9" width="11" style="70" customWidth="1"/>
    <col min="10" max="10" width="10.5703125" style="74" customWidth="1"/>
    <col min="11" max="11" width="10.85546875" style="70" customWidth="1"/>
    <col min="12" max="13" width="10.5703125" style="70" customWidth="1"/>
    <col min="14" max="14" width="10.28515625" style="70" customWidth="1"/>
    <col min="15" max="16" width="10.140625" style="70" customWidth="1"/>
    <col min="17" max="17" width="1.42578125" style="69" customWidth="1"/>
    <col min="18" max="16384" width="9.140625" style="70"/>
  </cols>
  <sheetData>
    <row r="1" spans="2:23">
      <c r="B1" s="464"/>
      <c r="C1" s="465"/>
      <c r="D1" s="464"/>
      <c r="E1" s="464"/>
      <c r="F1" s="464"/>
      <c r="G1" s="464"/>
      <c r="H1" s="464"/>
      <c r="I1" s="464"/>
      <c r="J1" s="466"/>
      <c r="K1" s="464"/>
      <c r="L1" s="464"/>
      <c r="M1" s="464"/>
      <c r="N1" s="464"/>
      <c r="O1" s="1679"/>
      <c r="P1" s="1679"/>
      <c r="Q1" s="467"/>
    </row>
    <row r="2" spans="2:23">
      <c r="B2" s="464"/>
      <c r="C2" s="465"/>
      <c r="D2" s="464"/>
      <c r="E2" s="464"/>
      <c r="F2" s="464"/>
      <c r="G2" s="464"/>
      <c r="H2" s="464"/>
      <c r="I2" s="464"/>
      <c r="J2" s="466"/>
      <c r="K2" s="464"/>
      <c r="L2" s="464"/>
      <c r="M2" s="464"/>
      <c r="N2" s="464"/>
      <c r="O2" s="464"/>
      <c r="P2" s="464"/>
      <c r="Q2" s="467"/>
    </row>
    <row r="3" spans="2:23" ht="36" customHeight="1">
      <c r="B3" s="1680" t="s">
        <v>305</v>
      </c>
      <c r="C3" s="1680"/>
      <c r="D3" s="1680"/>
      <c r="E3" s="1680"/>
      <c r="F3" s="1680"/>
      <c r="G3" s="1680"/>
      <c r="H3" s="1680"/>
      <c r="I3" s="1680"/>
      <c r="J3" s="1680"/>
      <c r="K3" s="1680"/>
      <c r="L3" s="1680"/>
      <c r="M3" s="1680"/>
      <c r="N3" s="1680"/>
      <c r="O3" s="1680"/>
      <c r="P3" s="1680"/>
      <c r="Q3" s="467"/>
    </row>
    <row r="4" spans="2:23" ht="21" customHeight="1" thickBot="1">
      <c r="B4" s="1680"/>
      <c r="C4" s="1680"/>
      <c r="D4" s="1681"/>
      <c r="E4" s="1681"/>
      <c r="F4" s="1681"/>
      <c r="G4" s="1681"/>
      <c r="H4" s="1681"/>
      <c r="I4" s="1681"/>
      <c r="J4" s="1681"/>
      <c r="K4" s="1681"/>
      <c r="L4" s="1681"/>
      <c r="M4" s="1681"/>
      <c r="N4" s="1681"/>
      <c r="O4" s="1681"/>
      <c r="P4" s="1681"/>
      <c r="Q4" s="467"/>
    </row>
    <row r="5" spans="2:23" ht="15.75" customHeight="1" thickBot="1">
      <c r="B5" s="1682" t="s">
        <v>701</v>
      </c>
      <c r="C5" s="1683" t="s">
        <v>488</v>
      </c>
      <c r="D5" s="1684" t="s">
        <v>306</v>
      </c>
      <c r="E5" s="1686" t="s">
        <v>597</v>
      </c>
      <c r="F5" s="1686"/>
      <c r="G5" s="1686"/>
      <c r="H5" s="1686"/>
      <c r="I5" s="1686"/>
      <c r="J5" s="1686"/>
      <c r="K5" s="1686"/>
      <c r="L5" s="1686"/>
      <c r="M5" s="1686"/>
      <c r="N5" s="1686"/>
      <c r="O5" s="1686"/>
      <c r="P5" s="1687"/>
      <c r="Q5" s="467"/>
    </row>
    <row r="6" spans="2:23" ht="13.5" customHeight="1" thickBot="1">
      <c r="B6" s="1682"/>
      <c r="C6" s="1683"/>
      <c r="D6" s="1685"/>
      <c r="E6" s="468" t="s">
        <v>598</v>
      </c>
      <c r="F6" s="468" t="s">
        <v>599</v>
      </c>
      <c r="G6" s="468" t="s">
        <v>600</v>
      </c>
      <c r="H6" s="468" t="s">
        <v>601</v>
      </c>
      <c r="I6" s="468" t="s">
        <v>602</v>
      </c>
      <c r="J6" s="468" t="s">
        <v>603</v>
      </c>
      <c r="K6" s="468" t="s">
        <v>604</v>
      </c>
      <c r="L6" s="468" t="s">
        <v>605</v>
      </c>
      <c r="M6" s="468" t="s">
        <v>606</v>
      </c>
      <c r="N6" s="468" t="s">
        <v>607</v>
      </c>
      <c r="O6" s="468" t="s">
        <v>608</v>
      </c>
      <c r="P6" s="469" t="s">
        <v>609</v>
      </c>
      <c r="Q6" s="467"/>
    </row>
    <row r="7" spans="2:23" ht="22.5" customHeight="1">
      <c r="B7" s="1682"/>
      <c r="C7" s="1683"/>
      <c r="D7" s="1685"/>
      <c r="E7" s="470" t="s">
        <v>610</v>
      </c>
      <c r="F7" s="470" t="s">
        <v>610</v>
      </c>
      <c r="G7" s="470" t="s">
        <v>610</v>
      </c>
      <c r="H7" s="470" t="s">
        <v>610</v>
      </c>
      <c r="I7" s="470" t="s">
        <v>610</v>
      </c>
      <c r="J7" s="471" t="s">
        <v>610</v>
      </c>
      <c r="K7" s="472" t="s">
        <v>610</v>
      </c>
      <c r="L7" s="470" t="s">
        <v>610</v>
      </c>
      <c r="M7" s="470" t="s">
        <v>610</v>
      </c>
      <c r="N7" s="470" t="s">
        <v>610</v>
      </c>
      <c r="O7" s="471" t="s">
        <v>610</v>
      </c>
      <c r="P7" s="473" t="s">
        <v>610</v>
      </c>
      <c r="Q7" s="467"/>
    </row>
    <row r="8" spans="2:23" ht="12.75" customHeight="1">
      <c r="B8" s="474">
        <v>1</v>
      </c>
      <c r="C8" s="474">
        <v>2</v>
      </c>
      <c r="D8" s="474">
        <v>10</v>
      </c>
      <c r="E8" s="474">
        <v>11</v>
      </c>
      <c r="F8" s="474">
        <v>12</v>
      </c>
      <c r="G8" s="474">
        <v>13</v>
      </c>
      <c r="H8" s="474">
        <v>14</v>
      </c>
      <c r="I8" s="474">
        <v>15</v>
      </c>
      <c r="J8" s="474">
        <v>16</v>
      </c>
      <c r="K8" s="474">
        <v>17</v>
      </c>
      <c r="L8" s="474">
        <v>18</v>
      </c>
      <c r="M8" s="474">
        <v>19</v>
      </c>
      <c r="N8" s="474">
        <v>20</v>
      </c>
      <c r="O8" s="474">
        <v>21</v>
      </c>
      <c r="P8" s="474">
        <v>22</v>
      </c>
      <c r="Q8" s="467"/>
    </row>
    <row r="9" spans="2:23" ht="20.25" customHeight="1">
      <c r="B9" s="475" t="s">
        <v>659</v>
      </c>
      <c r="C9" s="474" t="s">
        <v>710</v>
      </c>
      <c r="D9" s="530">
        <f t="shared" ref="D9:D14" si="0">E9+F9+G9+H9+N9+O9+P9</f>
        <v>41282</v>
      </c>
      <c r="E9" s="530">
        <v>8852</v>
      </c>
      <c r="F9" s="530">
        <v>7284</v>
      </c>
      <c r="G9" s="530">
        <v>6098</v>
      </c>
      <c r="H9" s="530">
        <v>2382</v>
      </c>
      <c r="I9" s="530">
        <f>I11/(100%-2.2%)</f>
        <v>0</v>
      </c>
      <c r="J9" s="530">
        <f>J11/(100%-2.2%)</f>
        <v>0</v>
      </c>
      <c r="K9" s="530">
        <f>K11/(100%-2.2%)</f>
        <v>0</v>
      </c>
      <c r="L9" s="530">
        <f>L11/(100%-2.2%)</f>
        <v>0</v>
      </c>
      <c r="M9" s="530">
        <f>M11/(100%-2.2%)</f>
        <v>0</v>
      </c>
      <c r="N9" s="530">
        <v>2700</v>
      </c>
      <c r="O9" s="530">
        <v>5901</v>
      </c>
      <c r="P9" s="530">
        <v>8065</v>
      </c>
      <c r="Q9" s="477">
        <f t="shared" ref="Q9:Q18" si="1">SUM(E9:P9)-D9</f>
        <v>0</v>
      </c>
      <c r="R9" s="72"/>
      <c r="S9" s="72"/>
      <c r="T9" s="72"/>
      <c r="U9" s="72"/>
    </row>
    <row r="10" spans="2:23" ht="31.5" customHeight="1">
      <c r="B10" s="475" t="s">
        <v>658</v>
      </c>
      <c r="C10" s="474" t="s">
        <v>710</v>
      </c>
      <c r="D10" s="530">
        <f t="shared" si="0"/>
        <v>892</v>
      </c>
      <c r="E10" s="530">
        <v>192</v>
      </c>
      <c r="F10" s="530">
        <v>157</v>
      </c>
      <c r="G10" s="530">
        <v>132</v>
      </c>
      <c r="H10" s="530">
        <v>52</v>
      </c>
      <c r="I10" s="530">
        <f>I9-I11</f>
        <v>0</v>
      </c>
      <c r="J10" s="530">
        <f>J9-J11</f>
        <v>0</v>
      </c>
      <c r="K10" s="530">
        <f>K9-K11</f>
        <v>0</v>
      </c>
      <c r="L10" s="530">
        <f>L9-L11</f>
        <v>0</v>
      </c>
      <c r="M10" s="530">
        <f>M9-M11</f>
        <v>0</v>
      </c>
      <c r="N10" s="530">
        <v>59</v>
      </c>
      <c r="O10" s="530">
        <v>127</v>
      </c>
      <c r="P10" s="530">
        <v>173</v>
      </c>
      <c r="Q10" s="477">
        <f t="shared" si="1"/>
        <v>0</v>
      </c>
      <c r="R10" s="72"/>
      <c r="S10" s="72"/>
      <c r="T10" s="72"/>
    </row>
    <row r="11" spans="2:23" ht="32.25" customHeight="1">
      <c r="B11" s="478" t="s">
        <v>407</v>
      </c>
      <c r="C11" s="479" t="s">
        <v>710</v>
      </c>
      <c r="D11" s="530">
        <f t="shared" si="0"/>
        <v>40390</v>
      </c>
      <c r="E11" s="530">
        <f>E9-E10</f>
        <v>8660</v>
      </c>
      <c r="F11" s="530">
        <f>F9-F10</f>
        <v>7127</v>
      </c>
      <c r="G11" s="530">
        <f>G9-G10</f>
        <v>5966</v>
      </c>
      <c r="H11" s="530">
        <f>H9-H10</f>
        <v>2330</v>
      </c>
      <c r="I11" s="530">
        <f>I12+I13+I14+I15</f>
        <v>0</v>
      </c>
      <c r="J11" s="530">
        <f>J12+J13+J14+J15</f>
        <v>0</v>
      </c>
      <c r="K11" s="530">
        <f>K12+K13+K14+K15</f>
        <v>0</v>
      </c>
      <c r="L11" s="530">
        <f>L12+L13+L14+L15</f>
        <v>0</v>
      </c>
      <c r="M11" s="530">
        <f>M12+M13+M14+M15</f>
        <v>0</v>
      </c>
      <c r="N11" s="530">
        <f>N9-N10</f>
        <v>2641</v>
      </c>
      <c r="O11" s="530">
        <f>O9-O10</f>
        <v>5774</v>
      </c>
      <c r="P11" s="530">
        <f>P9-P10</f>
        <v>7892</v>
      </c>
      <c r="Q11" s="477">
        <f t="shared" si="1"/>
        <v>0</v>
      </c>
      <c r="R11" s="72"/>
      <c r="S11" s="247"/>
      <c r="T11" s="72"/>
      <c r="U11" s="72"/>
      <c r="V11" s="72"/>
      <c r="W11" s="72"/>
    </row>
    <row r="12" spans="2:23" ht="17.25" customHeight="1">
      <c r="B12" s="480" t="s">
        <v>611</v>
      </c>
      <c r="C12" s="479" t="s">
        <v>710</v>
      </c>
      <c r="D12" s="531">
        <f t="shared" si="0"/>
        <v>27351</v>
      </c>
      <c r="E12" s="531">
        <v>5883</v>
      </c>
      <c r="F12" s="531">
        <v>4836</v>
      </c>
      <c r="G12" s="531">
        <v>4031</v>
      </c>
      <c r="H12" s="531">
        <v>1567</v>
      </c>
      <c r="I12" s="531">
        <v>0</v>
      </c>
      <c r="J12" s="531">
        <v>0</v>
      </c>
      <c r="K12" s="531">
        <v>0</v>
      </c>
      <c r="L12" s="531">
        <v>0</v>
      </c>
      <c r="M12" s="531">
        <v>0</v>
      </c>
      <c r="N12" s="531">
        <v>1777</v>
      </c>
      <c r="O12" s="531">
        <v>3903</v>
      </c>
      <c r="P12" s="531">
        <v>5354</v>
      </c>
      <c r="Q12" s="477"/>
      <c r="R12" s="72"/>
      <c r="S12" s="72"/>
      <c r="T12" s="72"/>
      <c r="U12" s="72"/>
    </row>
    <row r="13" spans="2:23" ht="15.75" customHeight="1">
      <c r="B13" s="480" t="s">
        <v>612</v>
      </c>
      <c r="C13" s="479" t="s">
        <v>710</v>
      </c>
      <c r="D13" s="531">
        <f t="shared" si="0"/>
        <v>12004</v>
      </c>
      <c r="E13" s="531">
        <v>2557</v>
      </c>
      <c r="F13" s="531">
        <v>2110</v>
      </c>
      <c r="G13" s="531">
        <v>1781</v>
      </c>
      <c r="H13" s="531">
        <v>702</v>
      </c>
      <c r="I13" s="531">
        <v>0</v>
      </c>
      <c r="J13" s="531">
        <v>0</v>
      </c>
      <c r="K13" s="531">
        <v>0</v>
      </c>
      <c r="L13" s="531">
        <v>0</v>
      </c>
      <c r="M13" s="531">
        <v>0</v>
      </c>
      <c r="N13" s="531">
        <v>795</v>
      </c>
      <c r="O13" s="531">
        <v>1722</v>
      </c>
      <c r="P13" s="531">
        <v>2337</v>
      </c>
      <c r="Q13" s="477"/>
      <c r="R13" s="72"/>
      <c r="S13" s="72"/>
      <c r="T13" s="72"/>
      <c r="U13" s="72"/>
    </row>
    <row r="14" spans="2:23" ht="15" customHeight="1">
      <c r="B14" s="480" t="s">
        <v>613</v>
      </c>
      <c r="C14" s="479" t="s">
        <v>710</v>
      </c>
      <c r="D14" s="531">
        <f t="shared" si="0"/>
        <v>1035</v>
      </c>
      <c r="E14" s="531">
        <v>220</v>
      </c>
      <c r="F14" s="531">
        <v>181</v>
      </c>
      <c r="G14" s="531">
        <v>154</v>
      </c>
      <c r="H14" s="531">
        <v>61</v>
      </c>
      <c r="I14" s="531">
        <v>0</v>
      </c>
      <c r="J14" s="531">
        <v>0</v>
      </c>
      <c r="K14" s="531">
        <v>0</v>
      </c>
      <c r="L14" s="531">
        <v>0</v>
      </c>
      <c r="M14" s="531">
        <v>0</v>
      </c>
      <c r="N14" s="531">
        <v>69</v>
      </c>
      <c r="O14" s="531">
        <v>149</v>
      </c>
      <c r="P14" s="531">
        <v>201</v>
      </c>
      <c r="Q14" s="477"/>
      <c r="R14" s="72"/>
      <c r="S14" s="72"/>
      <c r="T14" s="72"/>
      <c r="U14" s="72"/>
    </row>
    <row r="15" spans="2:23" ht="16.5" hidden="1" customHeight="1">
      <c r="B15" s="480" t="s">
        <v>614</v>
      </c>
      <c r="C15" s="479" t="s">
        <v>710</v>
      </c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  <c r="Q15" s="477"/>
      <c r="R15" s="72"/>
      <c r="S15" s="72"/>
      <c r="T15" s="72"/>
      <c r="U15" s="72"/>
      <c r="V15" s="72"/>
    </row>
    <row r="16" spans="2:23" s="71" customFormat="1" ht="15" customHeight="1">
      <c r="B16" s="475" t="s">
        <v>669</v>
      </c>
      <c r="C16" s="474" t="s">
        <v>710</v>
      </c>
      <c r="D16" s="476"/>
      <c r="E16" s="476"/>
      <c r="F16" s="476"/>
      <c r="G16" s="476"/>
      <c r="H16" s="476"/>
      <c r="I16" s="476"/>
      <c r="J16" s="476"/>
      <c r="K16" s="476"/>
      <c r="L16" s="476"/>
      <c r="M16" s="476"/>
      <c r="N16" s="476"/>
      <c r="O16" s="476"/>
      <c r="P16" s="476"/>
      <c r="Q16" s="467">
        <f t="shared" si="1"/>
        <v>0</v>
      </c>
    </row>
    <row r="17" spans="1:29" ht="15">
      <c r="B17" s="475" t="s">
        <v>660</v>
      </c>
      <c r="C17" s="474" t="s">
        <v>710</v>
      </c>
      <c r="D17" s="530">
        <f>E17+F17+G17+H17+N17+O17+P17</f>
        <v>40390</v>
      </c>
      <c r="E17" s="530">
        <f>E11</f>
        <v>8660</v>
      </c>
      <c r="F17" s="530">
        <f>F11</f>
        <v>7127</v>
      </c>
      <c r="G17" s="530">
        <f>G11</f>
        <v>5966</v>
      </c>
      <c r="H17" s="530">
        <f>H11</f>
        <v>2330</v>
      </c>
      <c r="I17" s="530" t="e">
        <f>I20/(100%-I19)</f>
        <v>#REF!</v>
      </c>
      <c r="J17" s="530" t="e">
        <f>J20/(100%-J19)</f>
        <v>#REF!</v>
      </c>
      <c r="K17" s="530" t="e">
        <f>K20/(100%-K19)</f>
        <v>#REF!</v>
      </c>
      <c r="L17" s="530" t="e">
        <f>L20/(100%-L19)</f>
        <v>#REF!</v>
      </c>
      <c r="M17" s="530" t="e">
        <f>M20/(100%-M19)</f>
        <v>#REF!</v>
      </c>
      <c r="N17" s="530">
        <f>N11</f>
        <v>2641</v>
      </c>
      <c r="O17" s="530">
        <f>O11</f>
        <v>5774</v>
      </c>
      <c r="P17" s="530">
        <f>P11</f>
        <v>7892</v>
      </c>
      <c r="Q17" s="467" t="e">
        <f t="shared" si="1"/>
        <v>#REF!</v>
      </c>
    </row>
    <row r="18" spans="1:29" ht="28.5" customHeight="1">
      <c r="B18" s="475" t="s">
        <v>661</v>
      </c>
      <c r="C18" s="474" t="s">
        <v>710</v>
      </c>
      <c r="D18" s="530">
        <f>E18+F18+G18+H18+N18+O18+P18</f>
        <v>4920</v>
      </c>
      <c r="E18" s="530">
        <f t="shared" ref="E18:P18" si="2">E17-E20</f>
        <v>1037</v>
      </c>
      <c r="F18" s="530">
        <f t="shared" si="2"/>
        <v>859</v>
      </c>
      <c r="G18" s="530">
        <f t="shared" si="2"/>
        <v>734</v>
      </c>
      <c r="H18" s="530">
        <f t="shared" si="2"/>
        <v>293</v>
      </c>
      <c r="I18" s="530" t="e">
        <f t="shared" si="2"/>
        <v>#REF!</v>
      </c>
      <c r="J18" s="530" t="e">
        <f t="shared" si="2"/>
        <v>#REF!</v>
      </c>
      <c r="K18" s="530" t="e">
        <f t="shared" si="2"/>
        <v>#REF!</v>
      </c>
      <c r="L18" s="530" t="e">
        <f t="shared" si="2"/>
        <v>#REF!</v>
      </c>
      <c r="M18" s="530" t="e">
        <f t="shared" si="2"/>
        <v>#REF!</v>
      </c>
      <c r="N18" s="530">
        <f t="shared" si="2"/>
        <v>333</v>
      </c>
      <c r="O18" s="530">
        <f t="shared" si="2"/>
        <v>712</v>
      </c>
      <c r="P18" s="530">
        <f t="shared" si="2"/>
        <v>952</v>
      </c>
      <c r="Q18" s="467" t="e">
        <f t="shared" si="1"/>
        <v>#REF!</v>
      </c>
    </row>
    <row r="19" spans="1:29" ht="14.25">
      <c r="B19" s="482" t="s">
        <v>615</v>
      </c>
      <c r="C19" s="479" t="s">
        <v>492</v>
      </c>
      <c r="D19" s="532">
        <f>D18/D17</f>
        <v>0.12181232978460015</v>
      </c>
      <c r="E19" s="532">
        <f t="shared" ref="E19:P19" si="3">D19</f>
        <v>0.12181232978460015</v>
      </c>
      <c r="F19" s="532">
        <f t="shared" si="3"/>
        <v>0.12181232978460015</v>
      </c>
      <c r="G19" s="532">
        <f t="shared" si="3"/>
        <v>0.12181232978460015</v>
      </c>
      <c r="H19" s="532">
        <f t="shared" si="3"/>
        <v>0.12181232978460015</v>
      </c>
      <c r="I19" s="532">
        <f t="shared" si="3"/>
        <v>0.12181232978460015</v>
      </c>
      <c r="J19" s="532">
        <f t="shared" si="3"/>
        <v>0.12181232978460015</v>
      </c>
      <c r="K19" s="532">
        <f t="shared" si="3"/>
        <v>0.12181232978460015</v>
      </c>
      <c r="L19" s="532">
        <f t="shared" si="3"/>
        <v>0.12181232978460015</v>
      </c>
      <c r="M19" s="532">
        <f t="shared" si="3"/>
        <v>0.12181232978460015</v>
      </c>
      <c r="N19" s="532">
        <f t="shared" si="3"/>
        <v>0.12181232978460015</v>
      </c>
      <c r="O19" s="532">
        <f t="shared" si="3"/>
        <v>0.12181232978460015</v>
      </c>
      <c r="P19" s="532">
        <f t="shared" si="3"/>
        <v>0.12181232978460015</v>
      </c>
      <c r="Q19" s="467"/>
    </row>
    <row r="20" spans="1:29" ht="28.5" customHeight="1">
      <c r="A20" s="72"/>
      <c r="B20" s="478" t="s">
        <v>662</v>
      </c>
      <c r="C20" s="483" t="s">
        <v>710</v>
      </c>
      <c r="D20" s="530" t="e">
        <f t="shared" ref="D20:P20" si="4">D21+D22+D23</f>
        <v>#REF!</v>
      </c>
      <c r="E20" s="530">
        <f t="shared" si="4"/>
        <v>7623</v>
      </c>
      <c r="F20" s="530">
        <f t="shared" si="4"/>
        <v>6268</v>
      </c>
      <c r="G20" s="530">
        <f t="shared" si="4"/>
        <v>5232</v>
      </c>
      <c r="H20" s="530">
        <f t="shared" si="4"/>
        <v>2037</v>
      </c>
      <c r="I20" s="530" t="e">
        <f t="shared" si="4"/>
        <v>#REF!</v>
      </c>
      <c r="J20" s="530" t="e">
        <f t="shared" si="4"/>
        <v>#REF!</v>
      </c>
      <c r="K20" s="530" t="e">
        <f t="shared" si="4"/>
        <v>#REF!</v>
      </c>
      <c r="L20" s="530" t="e">
        <f t="shared" si="4"/>
        <v>#REF!</v>
      </c>
      <c r="M20" s="530" t="e">
        <f t="shared" si="4"/>
        <v>#REF!</v>
      </c>
      <c r="N20" s="530">
        <f t="shared" si="4"/>
        <v>2308</v>
      </c>
      <c r="O20" s="530">
        <f t="shared" si="4"/>
        <v>5062</v>
      </c>
      <c r="P20" s="530">
        <f t="shared" si="4"/>
        <v>6940</v>
      </c>
      <c r="Q20" s="477" t="e">
        <f>SUM(E20:P20)-D20</f>
        <v>#REF!</v>
      </c>
      <c r="R20" s="72"/>
      <c r="S20" s="72"/>
      <c r="T20" s="72"/>
      <c r="U20" s="72"/>
      <c r="V20" s="72"/>
    </row>
    <row r="21" spans="1:29" ht="24" customHeight="1">
      <c r="B21" s="475" t="s">
        <v>663</v>
      </c>
      <c r="C21" s="474" t="s">
        <v>710</v>
      </c>
      <c r="D21" s="476">
        <f>SUM(E21:P21)</f>
        <v>0</v>
      </c>
      <c r="E21" s="476">
        <v>0</v>
      </c>
      <c r="F21" s="476">
        <v>0</v>
      </c>
      <c r="G21" s="476">
        <v>0</v>
      </c>
      <c r="H21" s="476">
        <v>0</v>
      </c>
      <c r="I21" s="476">
        <v>0</v>
      </c>
      <c r="J21" s="476">
        <v>0</v>
      </c>
      <c r="K21" s="476">
        <v>0</v>
      </c>
      <c r="L21" s="476">
        <v>0</v>
      </c>
      <c r="M21" s="476">
        <v>0</v>
      </c>
      <c r="N21" s="476">
        <v>0</v>
      </c>
      <c r="O21" s="476">
        <v>0</v>
      </c>
      <c r="P21" s="476">
        <v>0</v>
      </c>
      <c r="Q21" s="467">
        <f>SUM(E21:P21)-D21</f>
        <v>0</v>
      </c>
      <c r="R21" s="72"/>
      <c r="S21" s="72"/>
      <c r="T21" s="72"/>
      <c r="U21" s="72"/>
    </row>
    <row r="22" spans="1:29" ht="34.5" customHeight="1">
      <c r="B22" s="475" t="s">
        <v>664</v>
      </c>
      <c r="C22" s="474" t="s">
        <v>710</v>
      </c>
      <c r="D22" s="476"/>
      <c r="E22" s="476"/>
      <c r="F22" s="476"/>
      <c r="G22" s="476"/>
      <c r="H22" s="476"/>
      <c r="I22" s="476"/>
      <c r="J22" s="476"/>
      <c r="K22" s="476"/>
      <c r="L22" s="476"/>
      <c r="M22" s="476"/>
      <c r="N22" s="476"/>
      <c r="O22" s="476"/>
      <c r="P22" s="476"/>
      <c r="Q22" s="467"/>
    </row>
    <row r="23" spans="1:29" ht="32.25" customHeight="1">
      <c r="B23" s="478" t="s">
        <v>665</v>
      </c>
      <c r="C23" s="474" t="s">
        <v>710</v>
      </c>
      <c r="D23" s="530" t="e">
        <f t="shared" ref="D23:P23" si="5">D24+D26+D28</f>
        <v>#REF!</v>
      </c>
      <c r="E23" s="530">
        <f t="shared" si="5"/>
        <v>7623</v>
      </c>
      <c r="F23" s="530">
        <f t="shared" si="5"/>
        <v>6268</v>
      </c>
      <c r="G23" s="530">
        <f t="shared" si="5"/>
        <v>5232</v>
      </c>
      <c r="H23" s="530">
        <f t="shared" si="5"/>
        <v>2037</v>
      </c>
      <c r="I23" s="530" t="e">
        <f t="shared" si="5"/>
        <v>#REF!</v>
      </c>
      <c r="J23" s="530" t="e">
        <f t="shared" si="5"/>
        <v>#REF!</v>
      </c>
      <c r="K23" s="530" t="e">
        <f t="shared" si="5"/>
        <v>#REF!</v>
      </c>
      <c r="L23" s="530" t="e">
        <f t="shared" si="5"/>
        <v>#REF!</v>
      </c>
      <c r="M23" s="530" t="e">
        <f t="shared" si="5"/>
        <v>#REF!</v>
      </c>
      <c r="N23" s="530">
        <f t="shared" si="5"/>
        <v>2308</v>
      </c>
      <c r="O23" s="530">
        <f t="shared" si="5"/>
        <v>5062</v>
      </c>
      <c r="P23" s="530">
        <f t="shared" si="5"/>
        <v>6940</v>
      </c>
      <c r="Q23" s="467" t="e">
        <f>SUM(E23:P23)-D23</f>
        <v>#REF!</v>
      </c>
    </row>
    <row r="24" spans="1:29" ht="15" customHeight="1">
      <c r="B24" s="484" t="s">
        <v>666</v>
      </c>
      <c r="C24" s="485" t="s">
        <v>710</v>
      </c>
      <c r="D24" s="530" t="e">
        <f>SUM(E24:P24)</f>
        <v>#REF!</v>
      </c>
      <c r="E24" s="530">
        <v>5172</v>
      </c>
      <c r="F24" s="530">
        <v>4247</v>
      </c>
      <c r="G24" s="530">
        <v>3528</v>
      </c>
      <c r="H24" s="530">
        <v>1367</v>
      </c>
      <c r="I24" s="530" t="e">
        <f>#REF!+#REF!</f>
        <v>#REF!</v>
      </c>
      <c r="J24" s="530" t="e">
        <f>#REF!+#REF!</f>
        <v>#REF!</v>
      </c>
      <c r="K24" s="530" t="e">
        <f>#REF!+#REF!</f>
        <v>#REF!</v>
      </c>
      <c r="L24" s="530" t="e">
        <f>#REF!+#REF!</f>
        <v>#REF!</v>
      </c>
      <c r="M24" s="530" t="e">
        <f>#REF!+#REF!</f>
        <v>#REF!</v>
      </c>
      <c r="N24" s="530">
        <v>1549</v>
      </c>
      <c r="O24" s="530">
        <v>3415</v>
      </c>
      <c r="P24" s="530">
        <v>4702</v>
      </c>
      <c r="Q24" s="467" t="e">
        <f>SUM(E24:P24)-D24</f>
        <v>#REF!</v>
      </c>
    </row>
    <row r="25" spans="1:29" ht="14.25" customHeight="1">
      <c r="B25" s="486" t="s">
        <v>616</v>
      </c>
      <c r="C25" s="487" t="s">
        <v>492</v>
      </c>
      <c r="D25" s="542" t="e">
        <f>D24/D20</f>
        <v>#REF!</v>
      </c>
      <c r="E25" s="533">
        <f t="shared" ref="E25:P25" si="6">E24/E23</f>
        <v>0.67847304210940573</v>
      </c>
      <c r="F25" s="533">
        <f t="shared" si="6"/>
        <v>0.67756860242501593</v>
      </c>
      <c r="G25" s="533">
        <f t="shared" si="6"/>
        <v>0.67431192660550454</v>
      </c>
      <c r="H25" s="533">
        <f t="shared" si="6"/>
        <v>0.67108492881688753</v>
      </c>
      <c r="I25" s="488">
        <v>0</v>
      </c>
      <c r="J25" s="488">
        <v>0</v>
      </c>
      <c r="K25" s="488">
        <v>0</v>
      </c>
      <c r="L25" s="488">
        <v>0</v>
      </c>
      <c r="M25" s="488">
        <v>0</v>
      </c>
      <c r="N25" s="533">
        <f t="shared" si="6"/>
        <v>0.67114384748700173</v>
      </c>
      <c r="O25" s="533">
        <f t="shared" si="6"/>
        <v>0.67463453180561039</v>
      </c>
      <c r="P25" s="533">
        <f t="shared" si="6"/>
        <v>0.67752161383285303</v>
      </c>
      <c r="Q25" s="467"/>
    </row>
    <row r="26" spans="1:29" ht="15">
      <c r="B26" s="484" t="s">
        <v>667</v>
      </c>
      <c r="C26" s="485" t="s">
        <v>710</v>
      </c>
      <c r="D26" s="530" t="e">
        <f>SUM(E26:P26)</f>
        <v>#REF!</v>
      </c>
      <c r="E26" s="530">
        <v>2257</v>
      </c>
      <c r="F26" s="530">
        <v>1861</v>
      </c>
      <c r="G26" s="530">
        <v>1568</v>
      </c>
      <c r="H26" s="530">
        <v>616</v>
      </c>
      <c r="I26" s="530" t="e">
        <f>#REF!+#REF!</f>
        <v>#REF!</v>
      </c>
      <c r="J26" s="530" t="e">
        <f>#REF!+#REF!</f>
        <v>#REF!</v>
      </c>
      <c r="K26" s="530" t="e">
        <f>#REF!+#REF!</f>
        <v>#REF!</v>
      </c>
      <c r="L26" s="530" t="e">
        <f>#REF!+#REF!</f>
        <v>#REF!</v>
      </c>
      <c r="M26" s="530" t="e">
        <f>#REF!+#REF!</f>
        <v>#REF!</v>
      </c>
      <c r="N26" s="530">
        <v>698</v>
      </c>
      <c r="O26" s="530">
        <v>1516</v>
      </c>
      <c r="P26" s="530">
        <v>2061</v>
      </c>
      <c r="Q26" s="467" t="e">
        <f>SUM(E26:P26)-D26</f>
        <v>#REF!</v>
      </c>
    </row>
    <row r="27" spans="1:29" ht="14.25">
      <c r="B27" s="486" t="s">
        <v>616</v>
      </c>
      <c r="C27" s="487" t="s">
        <v>492</v>
      </c>
      <c r="D27" s="541" t="e">
        <f>D26/D23</f>
        <v>#REF!</v>
      </c>
      <c r="E27" s="533">
        <f>E26/E20</f>
        <v>0.29607765971402333</v>
      </c>
      <c r="F27" s="533">
        <f>F26/F20</f>
        <v>0.2969049138481174</v>
      </c>
      <c r="G27" s="533">
        <f>G26/G20</f>
        <v>0.29969418960244648</v>
      </c>
      <c r="H27" s="533">
        <f>H26/H20</f>
        <v>0.30240549828178692</v>
      </c>
      <c r="I27" s="488">
        <v>0</v>
      </c>
      <c r="J27" s="488">
        <v>0</v>
      </c>
      <c r="K27" s="488">
        <v>0</v>
      </c>
      <c r="L27" s="488">
        <v>0</v>
      </c>
      <c r="M27" s="488">
        <v>0</v>
      </c>
      <c r="N27" s="533">
        <f>N26/N20</f>
        <v>0.3024263431542461</v>
      </c>
      <c r="O27" s="533">
        <f>O26/O20</f>
        <v>0.29948636902410114</v>
      </c>
      <c r="P27" s="533">
        <f>P26/P20</f>
        <v>0.29697406340057636</v>
      </c>
      <c r="Q27" s="467"/>
    </row>
    <row r="28" spans="1:29" ht="15">
      <c r="B28" s="484" t="s">
        <v>668</v>
      </c>
      <c r="C28" s="485" t="s">
        <v>710</v>
      </c>
      <c r="D28" s="530" t="e">
        <f>SUM(E28:P28)</f>
        <v>#REF!</v>
      </c>
      <c r="E28" s="530">
        <v>194</v>
      </c>
      <c r="F28" s="530">
        <v>160</v>
      </c>
      <c r="G28" s="530">
        <v>136</v>
      </c>
      <c r="H28" s="530">
        <v>54</v>
      </c>
      <c r="I28" s="530" t="e">
        <f>#REF!+#REF!</f>
        <v>#REF!</v>
      </c>
      <c r="J28" s="530" t="e">
        <f>#REF!+#REF!</f>
        <v>#REF!</v>
      </c>
      <c r="K28" s="530" t="e">
        <f>#REF!+#REF!</f>
        <v>#REF!</v>
      </c>
      <c r="L28" s="530" t="e">
        <f>#REF!+#REF!</f>
        <v>#REF!</v>
      </c>
      <c r="M28" s="530" t="e">
        <f>#REF!+#REF!</f>
        <v>#REF!</v>
      </c>
      <c r="N28" s="530">
        <v>61</v>
      </c>
      <c r="O28" s="530">
        <v>131</v>
      </c>
      <c r="P28" s="530">
        <v>177</v>
      </c>
      <c r="Q28" s="467" t="e">
        <f>SUM(E28:P28)-D28</f>
        <v>#REF!</v>
      </c>
    </row>
    <row r="29" spans="1:29" ht="14.25">
      <c r="B29" s="486" t="s">
        <v>616</v>
      </c>
      <c r="C29" s="487" t="s">
        <v>492</v>
      </c>
      <c r="D29" s="540" t="e">
        <f>D28/D20</f>
        <v>#REF!</v>
      </c>
      <c r="E29" s="534">
        <f>E28/E20</f>
        <v>2.5449298176570902E-2</v>
      </c>
      <c r="F29" s="534">
        <f>F28/F20</f>
        <v>2.5526483726866625E-2</v>
      </c>
      <c r="G29" s="534">
        <f>G28/G20</f>
        <v>2.5993883792048929E-2</v>
      </c>
      <c r="H29" s="534">
        <f>H28/H20</f>
        <v>2.6509572901325478E-2</v>
      </c>
      <c r="I29" s="489">
        <v>0</v>
      </c>
      <c r="J29" s="489">
        <v>0</v>
      </c>
      <c r="K29" s="489">
        <v>0</v>
      </c>
      <c r="L29" s="489">
        <v>0</v>
      </c>
      <c r="M29" s="489">
        <v>0</v>
      </c>
      <c r="N29" s="534">
        <f>N28/N20</f>
        <v>2.6429809358752165E-2</v>
      </c>
      <c r="O29" s="534">
        <f>O28/O20</f>
        <v>2.5879099170288425E-2</v>
      </c>
      <c r="P29" s="534">
        <f>P28/P20</f>
        <v>2.5504322766570605E-2</v>
      </c>
      <c r="Q29" s="467"/>
    </row>
    <row r="30" spans="1:29" ht="15" hidden="1" customHeight="1">
      <c r="B30" s="490"/>
      <c r="C30" s="491"/>
      <c r="D30" s="492" t="e">
        <f>D23-#REF!-#REF!-#REF!-D36-#REF!-D52-#REF!-#REF!</f>
        <v>#REF!</v>
      </c>
      <c r="E30" s="492" t="e">
        <f>E23-#REF!-#REF!-#REF!-E36-#REF!-E52-#REF!-#REF!</f>
        <v>#REF!</v>
      </c>
      <c r="F30" s="492" t="e">
        <f>F23-#REF!-#REF!-#REF!-F36-#REF!-F52-#REF!-#REF!</f>
        <v>#REF!</v>
      </c>
      <c r="G30" s="492" t="e">
        <f>G23-#REF!-#REF!-#REF!-G36-#REF!-G52-#REF!-#REF!</f>
        <v>#REF!</v>
      </c>
      <c r="H30" s="492" t="e">
        <f>H23-#REF!-#REF!-#REF!-H36-#REF!-H52-#REF!-#REF!</f>
        <v>#REF!</v>
      </c>
      <c r="I30" s="492" t="e">
        <f>I23-#REF!-#REF!-#REF!-I36-#REF!-I52-#REF!-#REF!</f>
        <v>#REF!</v>
      </c>
      <c r="J30" s="492" t="e">
        <f>J23-#REF!-#REF!-#REF!-J36-#REF!-J52-#REF!-#REF!</f>
        <v>#REF!</v>
      </c>
      <c r="K30" s="492" t="e">
        <f>K23-#REF!-#REF!-#REF!-K36-#REF!-K52-#REF!-#REF!</f>
        <v>#REF!</v>
      </c>
      <c r="L30" s="492" t="e">
        <f>L23-#REF!-#REF!-#REF!-L36-#REF!-L52-#REF!-#REF!</f>
        <v>#REF!</v>
      </c>
      <c r="M30" s="492" t="e">
        <f>M23-#REF!-#REF!-#REF!-M36-#REF!-M52-#REF!-#REF!</f>
        <v>#REF!</v>
      </c>
      <c r="N30" s="492" t="e">
        <f>N23-#REF!-#REF!-#REF!-N36-#REF!-N52-#REF!-#REF!</f>
        <v>#REF!</v>
      </c>
      <c r="O30" s="492" t="e">
        <f>O23-#REF!-#REF!-#REF!-O36-#REF!-O52-#REF!-#REF!</f>
        <v>#REF!</v>
      </c>
      <c r="P30" s="492" t="e">
        <f>P23-#REF!-#REF!-#REF!-P36-#REF!-P52-#REF!-#REF!</f>
        <v>#REF!</v>
      </c>
      <c r="Q30" s="467"/>
    </row>
    <row r="31" spans="1:29" ht="17.649999999999999" customHeight="1">
      <c r="B31" s="1678"/>
      <c r="C31" s="1678"/>
      <c r="D31" s="493"/>
      <c r="E31" s="493"/>
      <c r="F31" s="493"/>
      <c r="G31" s="493"/>
      <c r="H31" s="493"/>
      <c r="I31" s="493"/>
      <c r="J31" s="494"/>
      <c r="K31" s="493"/>
      <c r="L31" s="493"/>
      <c r="M31" s="493"/>
      <c r="N31" s="493"/>
      <c r="O31" s="493"/>
      <c r="P31" s="493"/>
      <c r="Q31" s="495"/>
      <c r="R31" s="271"/>
      <c r="S31" s="271"/>
      <c r="T31" s="271"/>
      <c r="U31" s="72"/>
      <c r="V31" s="72"/>
      <c r="W31" s="72"/>
      <c r="X31" s="72"/>
      <c r="Y31" s="72"/>
      <c r="Z31" s="72"/>
      <c r="AA31" s="72"/>
      <c r="AB31" s="72"/>
      <c r="AC31" s="72"/>
    </row>
    <row r="32" spans="1:29" ht="39" customHeight="1">
      <c r="B32" s="496"/>
      <c r="C32" s="497"/>
      <c r="D32" s="498"/>
      <c r="E32" s="499"/>
      <c r="F32" s="499"/>
      <c r="G32" s="499"/>
      <c r="H32" s="499"/>
      <c r="I32" s="499"/>
      <c r="J32" s="499"/>
      <c r="K32" s="499"/>
      <c r="L32" s="499"/>
      <c r="M32" s="499"/>
      <c r="N32" s="499"/>
      <c r="O32" s="499"/>
      <c r="P32" s="499"/>
      <c r="Q32" s="495"/>
      <c r="R32" s="271"/>
      <c r="S32" s="271"/>
      <c r="T32" s="271"/>
      <c r="U32" s="72"/>
      <c r="V32" s="72"/>
      <c r="W32" s="72"/>
      <c r="X32" s="72"/>
      <c r="Y32" s="72"/>
      <c r="Z32" s="72"/>
      <c r="AA32" s="72"/>
      <c r="AB32" s="72"/>
      <c r="AC32" s="72"/>
    </row>
    <row r="33" spans="2:29" ht="15">
      <c r="B33" s="500"/>
      <c r="C33" s="501"/>
      <c r="D33" s="502"/>
      <c r="E33" s="502"/>
      <c r="F33" s="502"/>
      <c r="G33" s="502"/>
      <c r="H33" s="502"/>
      <c r="I33" s="502"/>
      <c r="J33" s="502"/>
      <c r="K33" s="502"/>
      <c r="L33" s="502"/>
      <c r="M33" s="502"/>
      <c r="N33" s="502"/>
      <c r="O33" s="502"/>
      <c r="P33" s="502"/>
      <c r="Q33" s="495"/>
      <c r="R33" s="271"/>
      <c r="S33" s="271"/>
      <c r="T33" s="271"/>
      <c r="U33" s="72"/>
      <c r="V33" s="72"/>
      <c r="W33" s="72"/>
      <c r="X33" s="72"/>
      <c r="Y33" s="72"/>
      <c r="Z33" s="72"/>
      <c r="AA33" s="72"/>
      <c r="AB33" s="72"/>
      <c r="AC33" s="72"/>
    </row>
    <row r="34" spans="2:29" s="72" customFormat="1" ht="15">
      <c r="B34" s="265"/>
      <c r="C34" s="266"/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70"/>
      <c r="R34" s="271"/>
      <c r="S34" s="271"/>
      <c r="T34" s="271"/>
    </row>
    <row r="35" spans="2:29" s="72" customFormat="1" ht="15">
      <c r="B35" s="265"/>
      <c r="C35" s="266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70"/>
      <c r="R35" s="271"/>
      <c r="S35" s="271"/>
      <c r="T35" s="271"/>
    </row>
    <row r="36" spans="2:29" s="72" customFormat="1" ht="16.5" customHeight="1">
      <c r="B36" s="265"/>
      <c r="C36" s="301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0"/>
      <c r="R36" s="271"/>
      <c r="S36" s="271"/>
      <c r="T36" s="271"/>
    </row>
    <row r="37" spans="2:29" s="245" customFormat="1" ht="14.25">
      <c r="B37" s="302"/>
      <c r="C37" s="303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270"/>
      <c r="R37" s="273"/>
      <c r="S37" s="273"/>
      <c r="T37" s="273"/>
    </row>
    <row r="38" spans="2:29" s="72" customFormat="1" ht="14.25">
      <c r="B38" s="253"/>
      <c r="C38" s="301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270"/>
      <c r="R38" s="271"/>
      <c r="S38" s="271"/>
      <c r="T38" s="271"/>
    </row>
    <row r="39" spans="2:29" s="72" customFormat="1" ht="15">
      <c r="B39" s="267"/>
      <c r="C39" s="292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270"/>
      <c r="R39" s="271"/>
      <c r="S39" s="271"/>
      <c r="T39" s="271"/>
    </row>
    <row r="40" spans="2:29" s="72" customFormat="1" ht="14.25">
      <c r="B40" s="253"/>
      <c r="C40" s="301"/>
      <c r="D40" s="274"/>
      <c r="E40" s="275"/>
      <c r="F40" s="275"/>
      <c r="G40" s="274"/>
      <c r="H40" s="274"/>
      <c r="I40" s="274"/>
      <c r="J40" s="274"/>
      <c r="K40" s="274"/>
      <c r="L40" s="274"/>
      <c r="M40" s="274"/>
      <c r="N40" s="275"/>
      <c r="O40" s="275"/>
      <c r="P40" s="275"/>
      <c r="Q40" s="270"/>
      <c r="R40" s="271"/>
      <c r="S40" s="271"/>
      <c r="T40" s="271"/>
    </row>
    <row r="41" spans="2:29" s="72" customFormat="1" ht="15">
      <c r="B41" s="265"/>
      <c r="C41" s="266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70"/>
      <c r="R41" s="271"/>
      <c r="S41" s="271"/>
      <c r="T41" s="271"/>
    </row>
    <row r="42" spans="2:29" ht="14.25">
      <c r="B42" s="255"/>
      <c r="C42" s="256"/>
      <c r="D42" s="257"/>
      <c r="E42" s="258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70"/>
      <c r="R42" s="271"/>
      <c r="S42" s="271"/>
      <c r="T42" s="271"/>
      <c r="U42" s="72"/>
    </row>
    <row r="43" spans="2:29" ht="15" customHeight="1">
      <c r="B43" s="261"/>
      <c r="C43" s="256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70"/>
      <c r="R43" s="271"/>
      <c r="S43" s="271"/>
      <c r="T43" s="271"/>
      <c r="U43" s="72"/>
    </row>
    <row r="44" spans="2:29" ht="15">
      <c r="B44" s="276"/>
      <c r="C44" s="256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70"/>
      <c r="R44" s="271"/>
      <c r="S44" s="271"/>
      <c r="T44" s="271"/>
      <c r="U44" s="72"/>
    </row>
    <row r="45" spans="2:29" ht="14.25" hidden="1" customHeight="1">
      <c r="B45" s="277"/>
      <c r="C45" s="260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70"/>
      <c r="R45" s="271"/>
      <c r="S45" s="271"/>
      <c r="T45" s="271"/>
      <c r="U45" s="72"/>
    </row>
    <row r="46" spans="2:29" ht="14.25">
      <c r="B46" s="261"/>
      <c r="C46" s="260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70"/>
      <c r="R46" s="271"/>
      <c r="S46" s="271"/>
      <c r="T46" s="271"/>
      <c r="U46" s="72"/>
    </row>
    <row r="47" spans="2:29" ht="14.25" hidden="1" customHeight="1">
      <c r="B47" s="261"/>
      <c r="C47" s="260"/>
      <c r="D47" s="278"/>
      <c r="E47" s="278"/>
      <c r="F47" s="278"/>
      <c r="G47" s="278"/>
      <c r="H47" s="278"/>
      <c r="I47" s="278"/>
      <c r="J47" s="278"/>
      <c r="K47" s="278"/>
      <c r="L47" s="278"/>
      <c r="M47" s="278"/>
      <c r="N47" s="278"/>
      <c r="O47" s="278"/>
      <c r="P47" s="278"/>
      <c r="Q47" s="270"/>
      <c r="R47" s="271"/>
      <c r="S47" s="271"/>
      <c r="T47" s="271"/>
      <c r="U47" s="72"/>
    </row>
    <row r="48" spans="2:29" ht="13.5" customHeight="1">
      <c r="B48" s="261"/>
      <c r="C48" s="268"/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70"/>
      <c r="R48" s="271"/>
      <c r="S48" s="271"/>
      <c r="T48" s="271"/>
      <c r="U48" s="72"/>
    </row>
    <row r="49" spans="2:21" ht="14.25">
      <c r="B49" s="261"/>
      <c r="C49" s="260"/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70"/>
      <c r="R49" s="271"/>
      <c r="S49" s="271"/>
      <c r="T49" s="271"/>
      <c r="U49" s="72"/>
    </row>
    <row r="50" spans="2:21" ht="14.25">
      <c r="B50" s="261"/>
      <c r="C50" s="260"/>
      <c r="D50" s="263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0"/>
      <c r="R50" s="271"/>
      <c r="S50" s="271"/>
      <c r="T50" s="271"/>
      <c r="U50" s="72"/>
    </row>
    <row r="51" spans="2:21" ht="14.25">
      <c r="B51" s="261"/>
      <c r="C51" s="260"/>
      <c r="D51" s="263"/>
      <c r="E51" s="275"/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0"/>
      <c r="R51" s="271"/>
      <c r="S51" s="271"/>
      <c r="T51" s="271"/>
      <c r="U51" s="72"/>
    </row>
    <row r="52" spans="2:21" ht="15">
      <c r="B52" s="251"/>
      <c r="C52" s="252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70"/>
      <c r="R52" s="271"/>
      <c r="S52" s="271"/>
      <c r="T52" s="271"/>
      <c r="U52" s="72"/>
    </row>
    <row r="53" spans="2:21" ht="15.75" customHeight="1">
      <c r="B53" s="253"/>
      <c r="C53" s="260"/>
      <c r="D53" s="269"/>
      <c r="E53" s="269"/>
      <c r="F53" s="269"/>
      <c r="G53" s="269"/>
      <c r="H53" s="269"/>
      <c r="I53" s="269"/>
      <c r="J53" s="269"/>
      <c r="K53" s="269"/>
      <c r="L53" s="269"/>
      <c r="M53" s="269"/>
      <c r="N53" s="269"/>
      <c r="O53" s="269"/>
      <c r="P53" s="269"/>
      <c r="Q53" s="270"/>
      <c r="R53" s="271"/>
      <c r="S53" s="271"/>
      <c r="T53" s="271"/>
      <c r="U53" s="72"/>
    </row>
    <row r="54" spans="2:21" s="71" customFormat="1"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</row>
    <row r="55" spans="2:21" ht="15">
      <c r="B55" s="280"/>
      <c r="C55" s="280"/>
      <c r="D55" s="248"/>
      <c r="E55" s="281"/>
      <c r="F55" s="282"/>
      <c r="G55" s="283"/>
      <c r="H55" s="282"/>
      <c r="I55" s="282"/>
      <c r="J55" s="282"/>
      <c r="K55" s="282"/>
      <c r="L55" s="248"/>
      <c r="M55" s="248"/>
      <c r="N55" s="248"/>
      <c r="O55" s="248"/>
      <c r="P55" s="248"/>
      <c r="Q55" s="250"/>
      <c r="R55" s="248"/>
      <c r="S55" s="248"/>
      <c r="T55" s="248"/>
    </row>
    <row r="56" spans="2:21" ht="15">
      <c r="B56" s="284"/>
      <c r="C56" s="285"/>
      <c r="D56" s="282"/>
      <c r="E56" s="282"/>
      <c r="F56" s="282"/>
      <c r="G56" s="282"/>
      <c r="H56" s="282"/>
      <c r="I56" s="282"/>
      <c r="J56" s="282"/>
      <c r="K56" s="282"/>
      <c r="L56" s="248"/>
      <c r="M56" s="248"/>
      <c r="N56" s="248"/>
      <c r="O56" s="248"/>
      <c r="P56" s="248"/>
      <c r="Q56" s="250"/>
      <c r="R56" s="248"/>
      <c r="S56" s="248"/>
      <c r="T56" s="248"/>
    </row>
    <row r="57" spans="2:21" ht="16.5">
      <c r="B57" s="286"/>
      <c r="C57" s="287"/>
      <c r="D57" s="1677"/>
      <c r="E57" s="1677"/>
      <c r="F57" s="1677"/>
      <c r="G57" s="282"/>
      <c r="H57" s="282"/>
      <c r="I57" s="282"/>
      <c r="J57" s="282"/>
      <c r="K57" s="282"/>
      <c r="L57" s="248"/>
      <c r="M57" s="248"/>
      <c r="N57" s="248"/>
      <c r="O57" s="248"/>
      <c r="P57" s="248"/>
      <c r="Q57" s="250"/>
      <c r="R57" s="248"/>
      <c r="S57" s="248"/>
      <c r="T57" s="248"/>
    </row>
    <row r="58" spans="2:21" ht="16.5">
      <c r="B58" s="288"/>
      <c r="C58" s="287"/>
      <c r="D58" s="286"/>
      <c r="E58" s="286"/>
      <c r="F58" s="286"/>
      <c r="G58" s="282"/>
      <c r="H58" s="282"/>
      <c r="I58" s="282"/>
      <c r="J58" s="282"/>
      <c r="K58" s="282"/>
      <c r="L58" s="248"/>
      <c r="M58" s="248"/>
      <c r="N58" s="248"/>
      <c r="O58" s="248"/>
      <c r="P58" s="248"/>
      <c r="Q58" s="250"/>
      <c r="R58" s="248"/>
      <c r="S58" s="248"/>
      <c r="T58" s="248"/>
    </row>
    <row r="59" spans="2:21" ht="15">
      <c r="B59" s="282"/>
      <c r="C59" s="285"/>
      <c r="D59" s="282"/>
      <c r="E59" s="282"/>
      <c r="F59" s="282"/>
      <c r="G59" s="282"/>
      <c r="H59" s="282"/>
      <c r="I59" s="282"/>
      <c r="J59" s="282"/>
      <c r="K59" s="282"/>
      <c r="L59" s="248"/>
      <c r="M59" s="248"/>
      <c r="N59" s="248"/>
      <c r="O59" s="248"/>
      <c r="P59" s="248"/>
      <c r="Q59" s="250"/>
      <c r="R59" s="248"/>
      <c r="S59" s="248"/>
      <c r="T59" s="248"/>
    </row>
    <row r="60" spans="2:21">
      <c r="B60" s="248"/>
      <c r="C60" s="246"/>
      <c r="D60" s="248"/>
      <c r="E60" s="248"/>
      <c r="F60" s="248"/>
      <c r="G60" s="248"/>
      <c r="H60" s="248"/>
      <c r="I60" s="248"/>
      <c r="J60" s="249"/>
      <c r="K60" s="248"/>
      <c r="L60" s="248"/>
      <c r="M60" s="248"/>
      <c r="N60" s="248"/>
      <c r="O60" s="248"/>
      <c r="P60" s="248"/>
      <c r="Q60" s="250"/>
      <c r="R60" s="248"/>
      <c r="S60" s="248"/>
      <c r="T60" s="248"/>
    </row>
    <row r="61" spans="2:21">
      <c r="B61" s="248"/>
      <c r="C61" s="246"/>
      <c r="D61" s="248"/>
      <c r="E61" s="248"/>
      <c r="F61" s="248"/>
      <c r="G61" s="248"/>
      <c r="H61" s="248"/>
      <c r="I61" s="248"/>
      <c r="J61" s="249"/>
      <c r="K61" s="248"/>
      <c r="L61" s="248"/>
      <c r="M61" s="248"/>
      <c r="N61" s="248"/>
      <c r="O61" s="248"/>
      <c r="P61" s="248"/>
      <c r="Q61" s="250"/>
      <c r="R61" s="248"/>
      <c r="S61" s="248"/>
      <c r="T61" s="248"/>
    </row>
    <row r="62" spans="2:21">
      <c r="B62" s="248"/>
      <c r="C62" s="246"/>
      <c r="D62" s="248"/>
      <c r="E62" s="248"/>
      <c r="F62" s="248"/>
      <c r="G62" s="248"/>
      <c r="H62" s="248"/>
      <c r="I62" s="248"/>
      <c r="J62" s="249"/>
      <c r="K62" s="248"/>
      <c r="L62" s="248"/>
      <c r="M62" s="248"/>
      <c r="N62" s="248"/>
      <c r="O62" s="248"/>
      <c r="P62" s="248"/>
      <c r="Q62" s="250"/>
      <c r="R62" s="248"/>
      <c r="S62" s="248"/>
      <c r="T62" s="248"/>
    </row>
    <row r="63" spans="2:21">
      <c r="B63" s="248"/>
      <c r="C63" s="246"/>
      <c r="D63" s="248"/>
      <c r="E63" s="248"/>
      <c r="F63" s="248"/>
      <c r="G63" s="248"/>
      <c r="H63" s="248"/>
      <c r="I63" s="248"/>
      <c r="J63" s="249"/>
      <c r="K63" s="248"/>
      <c r="L63" s="248"/>
      <c r="M63" s="248"/>
      <c r="N63" s="248"/>
      <c r="O63" s="248"/>
      <c r="P63" s="248"/>
      <c r="Q63" s="250"/>
      <c r="R63" s="248"/>
      <c r="S63" s="248"/>
      <c r="T63" s="248"/>
    </row>
    <row r="64" spans="2:21">
      <c r="B64" s="248"/>
      <c r="C64" s="248"/>
      <c r="D64" s="248"/>
      <c r="E64" s="248"/>
      <c r="F64" s="248"/>
      <c r="G64" s="248"/>
      <c r="H64" s="248"/>
      <c r="I64" s="248"/>
      <c r="J64" s="249"/>
      <c r="K64" s="248"/>
      <c r="L64" s="248"/>
      <c r="M64" s="248"/>
      <c r="N64" s="248"/>
      <c r="O64" s="248"/>
      <c r="P64" s="248"/>
      <c r="Q64" s="248"/>
      <c r="R64" s="248"/>
      <c r="S64" s="248"/>
      <c r="T64" s="248"/>
    </row>
    <row r="65" spans="2:20">
      <c r="B65" s="248"/>
      <c r="C65" s="248"/>
      <c r="D65" s="248"/>
      <c r="E65" s="248"/>
      <c r="F65" s="248"/>
      <c r="G65" s="248"/>
      <c r="H65" s="248"/>
      <c r="I65" s="248"/>
      <c r="J65" s="249"/>
      <c r="K65" s="289"/>
      <c r="L65" s="248"/>
      <c r="M65" s="248"/>
      <c r="N65" s="289"/>
      <c r="O65" s="248"/>
      <c r="P65" s="248"/>
      <c r="Q65" s="290"/>
      <c r="R65" s="248"/>
      <c r="S65" s="248"/>
      <c r="T65" s="289"/>
    </row>
    <row r="66" spans="2:20">
      <c r="B66" s="248"/>
      <c r="C66" s="248"/>
      <c r="D66" s="248"/>
      <c r="E66" s="248"/>
      <c r="F66" s="248"/>
      <c r="G66" s="248"/>
      <c r="H66" s="248"/>
      <c r="I66" s="248"/>
      <c r="J66" s="249"/>
      <c r="K66" s="289"/>
      <c r="L66" s="248"/>
      <c r="M66" s="248"/>
      <c r="N66" s="289"/>
      <c r="O66" s="248"/>
      <c r="P66" s="248"/>
      <c r="Q66" s="290"/>
      <c r="R66" s="248"/>
      <c r="S66" s="248"/>
      <c r="T66" s="289"/>
    </row>
    <row r="67" spans="2:20">
      <c r="B67" s="248"/>
      <c r="C67" s="248"/>
      <c r="D67" s="248"/>
      <c r="E67" s="248"/>
      <c r="F67" s="248"/>
      <c r="G67" s="248"/>
      <c r="H67" s="248"/>
      <c r="I67" s="248"/>
      <c r="J67" s="249"/>
      <c r="K67" s="289"/>
      <c r="L67" s="248"/>
      <c r="M67" s="248"/>
      <c r="N67" s="289"/>
      <c r="O67" s="248"/>
      <c r="P67" s="248"/>
      <c r="Q67" s="290"/>
      <c r="R67" s="248"/>
      <c r="S67" s="248"/>
      <c r="T67" s="289"/>
    </row>
    <row r="68" spans="2:20">
      <c r="B68" s="248"/>
      <c r="C68" s="248"/>
      <c r="D68" s="248"/>
      <c r="E68" s="248"/>
      <c r="F68" s="248"/>
      <c r="G68" s="248"/>
      <c r="H68" s="248"/>
      <c r="I68" s="248"/>
      <c r="J68" s="249"/>
      <c r="K68" s="289"/>
      <c r="L68" s="248"/>
      <c r="M68" s="248"/>
      <c r="N68" s="289"/>
      <c r="O68" s="248"/>
      <c r="P68" s="248"/>
      <c r="Q68" s="290"/>
      <c r="R68" s="248"/>
      <c r="S68" s="248"/>
      <c r="T68" s="289"/>
    </row>
    <row r="69" spans="2:20">
      <c r="B69" s="248"/>
      <c r="C69" s="248"/>
      <c r="D69" s="248"/>
      <c r="E69" s="248"/>
      <c r="F69" s="248"/>
      <c r="G69" s="248"/>
      <c r="H69" s="248"/>
      <c r="I69" s="248"/>
      <c r="J69" s="249"/>
      <c r="K69" s="289"/>
      <c r="L69" s="248"/>
      <c r="M69" s="248"/>
      <c r="N69" s="289"/>
      <c r="O69" s="248"/>
      <c r="P69" s="248"/>
      <c r="Q69" s="290"/>
      <c r="R69" s="248"/>
      <c r="S69" s="248"/>
      <c r="T69" s="289"/>
    </row>
    <row r="70" spans="2:20">
      <c r="C70" s="70"/>
      <c r="K70" s="75"/>
      <c r="N70" s="75"/>
      <c r="Q70" s="76"/>
      <c r="T70" s="75"/>
    </row>
    <row r="71" spans="2:20">
      <c r="C71" s="70"/>
      <c r="K71" s="75"/>
      <c r="N71" s="75"/>
      <c r="Q71" s="76"/>
      <c r="T71" s="75"/>
    </row>
    <row r="72" spans="2:20">
      <c r="C72" s="70"/>
      <c r="K72" s="75"/>
      <c r="N72" s="75"/>
      <c r="Q72" s="76"/>
      <c r="T72" s="75"/>
    </row>
    <row r="73" spans="2:20">
      <c r="C73" s="70"/>
      <c r="K73" s="75"/>
      <c r="N73" s="75"/>
      <c r="Q73" s="76"/>
      <c r="T73" s="75"/>
    </row>
    <row r="74" spans="2:20">
      <c r="C74" s="70"/>
      <c r="K74" s="75"/>
      <c r="N74" s="75"/>
      <c r="Q74" s="76"/>
      <c r="T74" s="75"/>
    </row>
    <row r="75" spans="2:20">
      <c r="C75" s="70"/>
      <c r="K75" s="75"/>
      <c r="N75" s="75"/>
      <c r="Q75" s="76"/>
      <c r="T75" s="75"/>
    </row>
    <row r="76" spans="2:20">
      <c r="C76" s="70"/>
      <c r="K76" s="75"/>
      <c r="N76" s="75"/>
      <c r="Q76" s="76"/>
      <c r="T76" s="75"/>
    </row>
    <row r="77" spans="2:20">
      <c r="C77" s="70"/>
      <c r="J77" s="70"/>
      <c r="K77" s="75"/>
      <c r="Q77" s="76"/>
      <c r="R77" s="77"/>
      <c r="S77" s="77"/>
      <c r="T77" s="76"/>
    </row>
    <row r="79" spans="2:20">
      <c r="C79" s="70"/>
      <c r="J79" s="70"/>
      <c r="Q79" s="70"/>
    </row>
    <row r="83" spans="3:21">
      <c r="C83" s="70"/>
      <c r="J83" s="70"/>
      <c r="K83" s="75"/>
      <c r="N83" s="75"/>
      <c r="Q83" s="75"/>
      <c r="U83" s="75"/>
    </row>
    <row r="84" spans="3:21">
      <c r="C84" s="70"/>
      <c r="J84" s="70"/>
      <c r="K84" s="75"/>
      <c r="N84" s="75"/>
      <c r="Q84" s="75"/>
      <c r="U84" s="75"/>
    </row>
    <row r="85" spans="3:21">
      <c r="C85" s="70"/>
      <c r="J85" s="70"/>
      <c r="K85" s="75"/>
      <c r="N85" s="75"/>
      <c r="Q85" s="75"/>
      <c r="U85" s="75"/>
    </row>
    <row r="86" spans="3:21">
      <c r="C86" s="70"/>
      <c r="J86" s="70"/>
      <c r="K86" s="75"/>
      <c r="N86" s="75"/>
      <c r="Q86" s="75"/>
      <c r="U86" s="75"/>
    </row>
    <row r="87" spans="3:21">
      <c r="C87" s="70"/>
      <c r="J87" s="70"/>
      <c r="K87" s="75"/>
      <c r="N87" s="75"/>
      <c r="Q87" s="75"/>
      <c r="U87" s="75"/>
    </row>
    <row r="88" spans="3:21">
      <c r="C88" s="70"/>
      <c r="J88" s="70"/>
      <c r="K88" s="75"/>
      <c r="N88" s="75"/>
      <c r="Q88" s="75"/>
      <c r="U88" s="75"/>
    </row>
    <row r="89" spans="3:21">
      <c r="C89" s="70"/>
      <c r="J89" s="70"/>
      <c r="K89" s="75"/>
      <c r="N89" s="75"/>
      <c r="Q89" s="75"/>
      <c r="U89" s="75"/>
    </row>
    <row r="90" spans="3:21">
      <c r="C90" s="70"/>
      <c r="J90" s="70"/>
      <c r="K90" s="75"/>
      <c r="N90" s="75"/>
      <c r="Q90" s="75"/>
      <c r="U90" s="75"/>
    </row>
    <row r="91" spans="3:21">
      <c r="C91" s="70"/>
      <c r="J91" s="70"/>
      <c r="K91" s="75"/>
      <c r="N91" s="75"/>
      <c r="Q91" s="75"/>
      <c r="U91" s="75"/>
    </row>
    <row r="92" spans="3:21">
      <c r="C92" s="70"/>
      <c r="J92" s="70"/>
      <c r="K92" s="75"/>
      <c r="N92" s="75"/>
      <c r="Q92" s="75"/>
      <c r="U92" s="75"/>
    </row>
    <row r="93" spans="3:21">
      <c r="C93" s="70"/>
      <c r="J93" s="70"/>
      <c r="K93" s="75"/>
      <c r="N93" s="75"/>
      <c r="Q93" s="75"/>
      <c r="U93" s="75"/>
    </row>
    <row r="94" spans="3:21">
      <c r="C94" s="70"/>
      <c r="K94" s="75"/>
      <c r="N94" s="75"/>
      <c r="Q94" s="75"/>
      <c r="U94" s="75"/>
    </row>
    <row r="95" spans="3:21">
      <c r="C95" s="70"/>
      <c r="J95" s="70"/>
      <c r="K95" s="75"/>
      <c r="L95" s="78"/>
      <c r="M95" s="78"/>
      <c r="N95" s="75"/>
      <c r="O95" s="78"/>
      <c r="P95" s="78"/>
      <c r="Q95" s="75"/>
      <c r="R95" s="75"/>
      <c r="S95" s="75"/>
      <c r="U95" s="75"/>
    </row>
    <row r="97" spans="3:17">
      <c r="C97" s="70"/>
      <c r="Q97" s="70"/>
    </row>
  </sheetData>
  <mergeCells count="9">
    <mergeCell ref="D57:F57"/>
    <mergeCell ref="B31:C31"/>
    <mergeCell ref="O1:P1"/>
    <mergeCell ref="B4:P4"/>
    <mergeCell ref="B3:P3"/>
    <mergeCell ref="B5:B7"/>
    <mergeCell ref="C5:C7"/>
    <mergeCell ref="D5:D7"/>
    <mergeCell ref="E5:P5"/>
  </mergeCells>
  <phoneticPr fontId="41" type="noConversion"/>
  <pageMargins left="0.39370078740157483" right="0.39370078740157483" top="1.1811023622047245" bottom="0.39370078740157483" header="0.15748031496062992" footer="0.31496062992125984"/>
  <pageSetup paperSize="9" scale="62" firstPageNumber="0" orientation="landscape" horizontalDpi="300" verticalDpi="300" r:id="rId1"/>
  <headerFooter alignWithMargins="0"/>
  <rowBreaks count="1" manualBreakCount="1">
    <brk id="33" max="16" man="1"/>
  </rowBreaks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27"/>
  <dimension ref="B1:H107"/>
  <sheetViews>
    <sheetView view="pageBreakPreview" topLeftCell="A10" zoomScaleSheetLayoutView="100" workbookViewId="0">
      <selection activeCell="B71" sqref="B71:D73"/>
    </sheetView>
  </sheetViews>
  <sheetFormatPr defaultRowHeight="12.75"/>
  <cols>
    <col min="1" max="1" width="6.7109375" style="5" customWidth="1"/>
    <col min="2" max="2" width="70.28515625" style="5" customWidth="1"/>
    <col min="3" max="3" width="16" style="5" customWidth="1"/>
    <col min="4" max="4" width="25.5703125" style="100" customWidth="1"/>
    <col min="5" max="5" width="36.7109375" style="5" customWidth="1"/>
    <col min="6" max="9" width="9.140625" style="5"/>
    <col min="10" max="10" width="37.7109375" style="5" bestFit="1" customWidth="1"/>
    <col min="11" max="16384" width="9.140625" style="5"/>
  </cols>
  <sheetData>
    <row r="1" spans="2:7">
      <c r="D1" s="153"/>
    </row>
    <row r="2" spans="2:7" ht="36" customHeight="1" thickBot="1">
      <c r="B2" s="1691" t="s">
        <v>13</v>
      </c>
      <c r="C2" s="1691"/>
      <c r="D2" s="1691"/>
    </row>
    <row r="3" spans="2:7" ht="31.5" customHeight="1">
      <c r="B3" s="27" t="s">
        <v>702</v>
      </c>
      <c r="C3" s="27" t="s">
        <v>395</v>
      </c>
      <c r="D3" s="120" t="s">
        <v>779</v>
      </c>
    </row>
    <row r="4" spans="2:7" ht="13.5" customHeight="1">
      <c r="B4" s="122" t="s">
        <v>690</v>
      </c>
      <c r="C4" s="109"/>
      <c r="D4" s="123"/>
    </row>
    <row r="5" spans="2:7" s="1" customFormat="1">
      <c r="B5" s="148" t="s">
        <v>496</v>
      </c>
      <c r="C5" s="149" t="s">
        <v>740</v>
      </c>
      <c r="D5" s="150">
        <f>D6+D7+D8</f>
        <v>6968.21</v>
      </c>
      <c r="E5" s="65"/>
    </row>
    <row r="6" spans="2:7" s="1" customFormat="1">
      <c r="B6" s="127" t="s">
        <v>646</v>
      </c>
      <c r="C6" s="152" t="s">
        <v>740</v>
      </c>
      <c r="D6" s="516">
        <v>6235.51</v>
      </c>
      <c r="E6" s="65" t="s">
        <v>771</v>
      </c>
    </row>
    <row r="7" spans="2:7" ht="13.5" customHeight="1">
      <c r="B7" s="151" t="s">
        <v>653</v>
      </c>
      <c r="C7" s="152" t="s">
        <v>740</v>
      </c>
      <c r="D7" s="128">
        <v>567.20000000000005</v>
      </c>
      <c r="E7" s="92" t="s">
        <v>517</v>
      </c>
    </row>
    <row r="8" spans="2:7" ht="13.9" customHeight="1">
      <c r="B8" s="127" t="s">
        <v>652</v>
      </c>
      <c r="C8" s="111" t="s">
        <v>740</v>
      </c>
      <c r="D8" s="128">
        <v>165.5</v>
      </c>
      <c r="E8" s="65" t="s">
        <v>518</v>
      </c>
      <c r="G8" s="40"/>
    </row>
    <row r="9" spans="2:7" s="1" customFormat="1">
      <c r="B9" s="124" t="s">
        <v>401</v>
      </c>
      <c r="C9" s="109" t="s">
        <v>740</v>
      </c>
      <c r="D9" s="125">
        <f>D10+D11+D12</f>
        <v>6968.21</v>
      </c>
      <c r="G9" s="59"/>
    </row>
    <row r="10" spans="2:7" ht="13.5" customHeight="1">
      <c r="B10" s="126" t="s">
        <v>649</v>
      </c>
      <c r="C10" s="110" t="s">
        <v>740</v>
      </c>
      <c r="D10" s="128">
        <v>6235.51</v>
      </c>
      <c r="E10" s="1" t="s">
        <v>772</v>
      </c>
    </row>
    <row r="11" spans="2:7" ht="13.5" customHeight="1">
      <c r="B11" s="151" t="s">
        <v>653</v>
      </c>
      <c r="C11" s="110" t="s">
        <v>740</v>
      </c>
      <c r="D11" s="128">
        <v>567.20000000000005</v>
      </c>
      <c r="E11" s="92" t="s">
        <v>517</v>
      </c>
    </row>
    <row r="12" spans="2:7" ht="13.5" customHeight="1">
      <c r="B12" s="127" t="s">
        <v>652</v>
      </c>
      <c r="C12" s="110" t="s">
        <v>740</v>
      </c>
      <c r="D12" s="128">
        <v>165.5</v>
      </c>
      <c r="E12" s="65" t="s">
        <v>518</v>
      </c>
    </row>
    <row r="13" spans="2:7" ht="14.25" customHeight="1">
      <c r="B13" s="124" t="s">
        <v>498</v>
      </c>
      <c r="C13" s="109" t="s">
        <v>740</v>
      </c>
      <c r="D13" s="125">
        <f>D14+D15+D16</f>
        <v>6968.21</v>
      </c>
      <c r="E13" s="1"/>
    </row>
    <row r="14" spans="2:7" ht="13.5" customHeight="1">
      <c r="B14" s="126" t="s">
        <v>649</v>
      </c>
      <c r="C14" s="110" t="s">
        <v>740</v>
      </c>
      <c r="D14" s="128">
        <v>6235.51</v>
      </c>
      <c r="E14" s="1" t="s">
        <v>773</v>
      </c>
    </row>
    <row r="15" spans="2:7" ht="13.5" customHeight="1">
      <c r="B15" s="151" t="s">
        <v>653</v>
      </c>
      <c r="C15" s="110" t="s">
        <v>740</v>
      </c>
      <c r="D15" s="128">
        <v>567.20000000000005</v>
      </c>
      <c r="E15" s="92" t="s">
        <v>517</v>
      </c>
    </row>
    <row r="16" spans="2:7" ht="13.5" customHeight="1">
      <c r="B16" s="127" t="s">
        <v>652</v>
      </c>
      <c r="C16" s="110" t="s">
        <v>740</v>
      </c>
      <c r="D16" s="128">
        <v>165.5</v>
      </c>
      <c r="E16" s="65" t="s">
        <v>518</v>
      </c>
    </row>
    <row r="17" spans="2:8" ht="13.5" hidden="1" customHeight="1">
      <c r="B17" s="124" t="s">
        <v>429</v>
      </c>
      <c r="C17" s="109" t="s">
        <v>743</v>
      </c>
      <c r="D17" s="294">
        <v>0</v>
      </c>
      <c r="E17" s="42"/>
    </row>
    <row r="18" spans="2:8" ht="13.5" customHeight="1">
      <c r="B18" s="124" t="s">
        <v>709</v>
      </c>
      <c r="C18" s="111" t="s">
        <v>691</v>
      </c>
      <c r="D18" s="150">
        <v>22.5</v>
      </c>
      <c r="E18" s="46"/>
    </row>
    <row r="19" spans="2:8" ht="13.5" customHeight="1">
      <c r="B19" s="127" t="s">
        <v>704</v>
      </c>
      <c r="C19" s="111" t="s">
        <v>691</v>
      </c>
      <c r="D19" s="128">
        <v>8.6999999999999993</v>
      </c>
      <c r="E19" s="1692" t="s">
        <v>780</v>
      </c>
      <c r="F19" s="1693"/>
      <c r="G19" s="1693"/>
      <c r="H19" s="1693"/>
    </row>
    <row r="20" spans="2:8" ht="13.5" customHeight="1">
      <c r="B20" s="127" t="s">
        <v>705</v>
      </c>
      <c r="C20" s="111" t="s">
        <v>691</v>
      </c>
      <c r="D20" s="128">
        <v>19.690000000000001</v>
      </c>
      <c r="E20" s="1692" t="s">
        <v>780</v>
      </c>
      <c r="F20" s="1693"/>
      <c r="G20" s="1693"/>
      <c r="H20" s="1693"/>
    </row>
    <row r="21" spans="2:8" s="1" customFormat="1">
      <c r="B21" s="124" t="s">
        <v>519</v>
      </c>
      <c r="C21" s="111" t="s">
        <v>699</v>
      </c>
      <c r="D21" s="297">
        <v>2.58</v>
      </c>
      <c r="E21" s="1692" t="s">
        <v>783</v>
      </c>
      <c r="F21" s="1693"/>
      <c r="G21" s="1693"/>
      <c r="H21" s="1693"/>
    </row>
    <row r="22" spans="2:8" s="1" customFormat="1">
      <c r="B22" s="124" t="s">
        <v>520</v>
      </c>
      <c r="C22" s="111" t="s">
        <v>572</v>
      </c>
      <c r="D22" s="298">
        <v>0.13</v>
      </c>
      <c r="E22" s="1692" t="s">
        <v>780</v>
      </c>
      <c r="F22" s="1693"/>
      <c r="G22" s="1693"/>
      <c r="H22" s="1693"/>
    </row>
    <row r="23" spans="2:8" s="1" customFormat="1">
      <c r="B23" s="124" t="s">
        <v>782</v>
      </c>
      <c r="C23" s="111" t="s">
        <v>492</v>
      </c>
      <c r="D23" s="309">
        <v>0.114</v>
      </c>
      <c r="F23" s="11"/>
    </row>
    <row r="24" spans="2:8" ht="33" customHeight="1">
      <c r="B24" s="1688" t="s">
        <v>619</v>
      </c>
      <c r="C24" s="1689"/>
      <c r="D24" s="1690"/>
      <c r="E24" s="23"/>
      <c r="F24" s="12"/>
    </row>
    <row r="25" spans="2:8" ht="13.5" customHeight="1">
      <c r="B25" s="129" t="s">
        <v>744</v>
      </c>
      <c r="C25" s="112"/>
      <c r="D25" s="130"/>
      <c r="E25" s="23"/>
      <c r="F25" s="12"/>
    </row>
    <row r="26" spans="2:8" ht="13.5" customHeight="1">
      <c r="B26" s="131" t="s">
        <v>617</v>
      </c>
      <c r="C26" s="110" t="s">
        <v>511</v>
      </c>
      <c r="D26" s="132">
        <f>SUM(D27:D33)</f>
        <v>183</v>
      </c>
      <c r="E26" s="23"/>
    </row>
    <row r="27" spans="2:8" ht="13.5" customHeight="1">
      <c r="B27" s="133" t="s">
        <v>607</v>
      </c>
      <c r="C27" s="110" t="s">
        <v>511</v>
      </c>
      <c r="D27" s="132">
        <v>17</v>
      </c>
      <c r="E27" s="23"/>
    </row>
    <row r="28" spans="2:8" ht="13.5" customHeight="1">
      <c r="B28" s="133" t="s">
        <v>608</v>
      </c>
      <c r="C28" s="110" t="s">
        <v>511</v>
      </c>
      <c r="D28" s="132">
        <v>30</v>
      </c>
      <c r="E28" s="23"/>
      <c r="F28" s="31"/>
    </row>
    <row r="29" spans="2:8" ht="13.5" customHeight="1">
      <c r="B29" s="133" t="s">
        <v>609</v>
      </c>
      <c r="C29" s="110" t="s">
        <v>511</v>
      </c>
      <c r="D29" s="132">
        <v>31</v>
      </c>
      <c r="E29" s="23"/>
      <c r="F29" s="31"/>
    </row>
    <row r="30" spans="2:8" ht="13.5" customHeight="1">
      <c r="B30" s="133" t="s">
        <v>598</v>
      </c>
      <c r="C30" s="110" t="s">
        <v>511</v>
      </c>
      <c r="D30" s="132">
        <v>31</v>
      </c>
      <c r="E30" s="23"/>
    </row>
    <row r="31" spans="2:8" ht="13.5" customHeight="1">
      <c r="B31" s="133" t="s">
        <v>599</v>
      </c>
      <c r="C31" s="110" t="s">
        <v>511</v>
      </c>
      <c r="D31" s="132">
        <v>28</v>
      </c>
      <c r="E31" s="23"/>
    </row>
    <row r="32" spans="2:8" ht="13.5" customHeight="1">
      <c r="B32" s="133" t="s">
        <v>600</v>
      </c>
      <c r="C32" s="110" t="s">
        <v>511</v>
      </c>
      <c r="D32" s="132">
        <v>31</v>
      </c>
      <c r="E32" s="23"/>
    </row>
    <row r="33" spans="2:5" ht="13.5" customHeight="1">
      <c r="B33" s="133" t="s">
        <v>601</v>
      </c>
      <c r="C33" s="110" t="s">
        <v>511</v>
      </c>
      <c r="D33" s="132">
        <v>15</v>
      </c>
      <c r="E33" s="23"/>
    </row>
    <row r="34" spans="2:5" ht="13.5" customHeight="1">
      <c r="B34" s="134" t="s">
        <v>510</v>
      </c>
      <c r="C34" s="110" t="s">
        <v>741</v>
      </c>
      <c r="D34" s="128">
        <f>D26/365*12</f>
        <v>6.0164383561643842</v>
      </c>
      <c r="E34" s="23"/>
    </row>
    <row r="35" spans="2:5" ht="13.5" customHeight="1">
      <c r="B35" s="134" t="s">
        <v>514</v>
      </c>
      <c r="C35" s="110" t="s">
        <v>513</v>
      </c>
      <c r="D35" s="132">
        <v>18</v>
      </c>
      <c r="E35" s="23"/>
    </row>
    <row r="36" spans="2:5" ht="13.5" customHeight="1">
      <c r="B36" s="135" t="s">
        <v>512</v>
      </c>
      <c r="C36" s="110" t="s">
        <v>513</v>
      </c>
      <c r="D36" s="132">
        <v>-22</v>
      </c>
      <c r="E36" s="23"/>
    </row>
    <row r="37" spans="2:5" ht="25.5">
      <c r="B37" s="135" t="s">
        <v>618</v>
      </c>
      <c r="C37" s="113" t="s">
        <v>513</v>
      </c>
      <c r="D37" s="529">
        <v>0.72699999999999998</v>
      </c>
      <c r="E37" s="23"/>
    </row>
    <row r="38" spans="2:5">
      <c r="B38" s="133" t="s">
        <v>607</v>
      </c>
      <c r="C38" s="110"/>
      <c r="D38" s="529">
        <v>6</v>
      </c>
      <c r="E38" s="23"/>
    </row>
    <row r="39" spans="2:5">
      <c r="B39" s="133" t="s">
        <v>608</v>
      </c>
      <c r="C39" s="110"/>
      <c r="D39" s="529">
        <v>3</v>
      </c>
      <c r="E39" s="23"/>
    </row>
    <row r="40" spans="2:5">
      <c r="B40" s="133" t="s">
        <v>609</v>
      </c>
      <c r="C40" s="110"/>
      <c r="D40" s="529">
        <v>-2</v>
      </c>
      <c r="E40" s="23"/>
    </row>
    <row r="41" spans="2:5">
      <c r="B41" s="133" t="s">
        <v>598</v>
      </c>
      <c r="C41" s="110"/>
      <c r="D41" s="529">
        <v>-4</v>
      </c>
      <c r="E41" s="23"/>
    </row>
    <row r="42" spans="2:5">
      <c r="B42" s="133" t="s">
        <v>599</v>
      </c>
      <c r="C42" s="110"/>
      <c r="D42" s="529">
        <v>-2</v>
      </c>
      <c r="E42" s="23"/>
    </row>
    <row r="43" spans="2:5">
      <c r="B43" s="133" t="s">
        <v>600</v>
      </c>
      <c r="C43" s="110"/>
      <c r="D43" s="529">
        <v>3</v>
      </c>
      <c r="E43" s="23"/>
    </row>
    <row r="44" spans="2:5" ht="10.5" customHeight="1">
      <c r="B44" s="133" t="s">
        <v>601</v>
      </c>
      <c r="C44" s="110"/>
      <c r="D44" s="529">
        <v>6</v>
      </c>
      <c r="E44" s="23"/>
    </row>
    <row r="45" spans="2:5">
      <c r="B45" s="126" t="s">
        <v>515</v>
      </c>
      <c r="C45" s="110" t="s">
        <v>516</v>
      </c>
      <c r="D45" s="136">
        <v>24</v>
      </c>
      <c r="E45" s="23"/>
    </row>
    <row r="46" spans="2:5" ht="25.5">
      <c r="B46" s="126" t="s">
        <v>487</v>
      </c>
      <c r="C46" s="110"/>
      <c r="D46" s="137">
        <f>(D35-D37)/(D35-D36)*D26*24</f>
        <v>1896.5754000000002</v>
      </c>
      <c r="E46" s="23"/>
    </row>
    <row r="47" spans="2:5" hidden="1">
      <c r="B47" s="138" t="s">
        <v>611</v>
      </c>
      <c r="C47" s="109"/>
      <c r="D47" s="139"/>
      <c r="E47" s="23"/>
    </row>
    <row r="48" spans="2:5" hidden="1">
      <c r="B48" s="126" t="s">
        <v>463</v>
      </c>
      <c r="C48" s="109"/>
      <c r="D48" s="295">
        <v>1692</v>
      </c>
      <c r="E48" s="23"/>
    </row>
    <row r="49" spans="2:8" hidden="1">
      <c r="B49" s="126" t="s">
        <v>464</v>
      </c>
      <c r="C49" s="110"/>
      <c r="D49" s="140"/>
      <c r="E49" s="23"/>
    </row>
    <row r="50" spans="2:8" ht="15" hidden="1" customHeight="1">
      <c r="B50" s="126" t="s">
        <v>647</v>
      </c>
      <c r="C50" s="110">
        <v>0</v>
      </c>
      <c r="D50" s="299">
        <v>287</v>
      </c>
      <c r="E50" s="42" t="s">
        <v>760</v>
      </c>
    </row>
    <row r="51" spans="2:8" hidden="1">
      <c r="B51" s="126" t="s">
        <v>648</v>
      </c>
      <c r="C51" s="110">
        <v>0</v>
      </c>
      <c r="D51" s="299">
        <v>169</v>
      </c>
      <c r="E51" s="94"/>
    </row>
    <row r="52" spans="2:8" ht="25.5" hidden="1">
      <c r="B52" s="126" t="s">
        <v>573</v>
      </c>
      <c r="C52" s="110">
        <v>0</v>
      </c>
      <c r="D52" s="293"/>
      <c r="E52" s="42" t="s">
        <v>759</v>
      </c>
    </row>
    <row r="53" spans="2:8" hidden="1">
      <c r="B53" s="126" t="s">
        <v>648</v>
      </c>
      <c r="C53" s="110">
        <v>0</v>
      </c>
      <c r="D53" s="293">
        <v>876</v>
      </c>
      <c r="E53" s="41"/>
    </row>
    <row r="54" spans="2:8" hidden="1">
      <c r="B54" s="126" t="s">
        <v>465</v>
      </c>
      <c r="C54" s="110">
        <v>0</v>
      </c>
      <c r="D54" s="300"/>
      <c r="E54" s="42" t="s">
        <v>761</v>
      </c>
    </row>
    <row r="55" spans="2:8" ht="14.25" hidden="1" customHeight="1">
      <c r="B55" s="126" t="s">
        <v>647</v>
      </c>
      <c r="C55" s="110">
        <v>0</v>
      </c>
      <c r="D55" s="293">
        <v>360</v>
      </c>
      <c r="E55" s="94"/>
    </row>
    <row r="56" spans="2:8" hidden="1">
      <c r="B56" s="138" t="s">
        <v>402</v>
      </c>
      <c r="C56" s="110"/>
      <c r="D56" s="136"/>
      <c r="E56" s="94"/>
    </row>
    <row r="57" spans="2:8" hidden="1">
      <c r="B57" s="126" t="s">
        <v>757</v>
      </c>
      <c r="C57" s="110" t="s">
        <v>708</v>
      </c>
      <c r="D57" s="136"/>
      <c r="E57" s="95"/>
    </row>
    <row r="58" spans="2:8" hidden="1">
      <c r="B58" s="126" t="s">
        <v>466</v>
      </c>
      <c r="C58" s="110" t="s">
        <v>467</v>
      </c>
      <c r="D58" s="136">
        <v>5</v>
      </c>
      <c r="E58" s="33" t="s">
        <v>468</v>
      </c>
    </row>
    <row r="59" spans="2:8" hidden="1">
      <c r="B59" s="138" t="s">
        <v>403</v>
      </c>
      <c r="C59" s="110"/>
      <c r="D59" s="136"/>
      <c r="E59" s="94"/>
    </row>
    <row r="60" spans="2:8" hidden="1">
      <c r="B60" s="126" t="s">
        <v>758</v>
      </c>
      <c r="C60" s="110" t="s">
        <v>708</v>
      </c>
      <c r="D60" s="136"/>
      <c r="E60" s="95"/>
    </row>
    <row r="61" spans="2:8" hidden="1">
      <c r="B61" s="126" t="s">
        <v>466</v>
      </c>
      <c r="C61" s="110" t="s">
        <v>467</v>
      </c>
      <c r="D61" s="136">
        <v>5</v>
      </c>
      <c r="E61" s="33" t="s">
        <v>468</v>
      </c>
    </row>
    <row r="62" spans="2:8" ht="13.5" customHeight="1">
      <c r="B62" s="129" t="s">
        <v>394</v>
      </c>
      <c r="C62" s="111"/>
      <c r="D62" s="136"/>
    </row>
    <row r="63" spans="2:8" ht="25.5" hidden="1">
      <c r="B63" s="141" t="s">
        <v>745</v>
      </c>
      <c r="C63" s="110" t="s">
        <v>492</v>
      </c>
      <c r="D63" s="142"/>
      <c r="E63" s="33"/>
    </row>
    <row r="64" spans="2:8" ht="13.5" customHeight="1">
      <c r="B64" s="131" t="s">
        <v>711</v>
      </c>
      <c r="C64" s="110" t="s">
        <v>492</v>
      </c>
      <c r="D64" s="142">
        <v>0.22</v>
      </c>
      <c r="H64" s="23"/>
    </row>
    <row r="65" spans="2:8" ht="13.5" customHeight="1">
      <c r="B65" s="131" t="s">
        <v>594</v>
      </c>
      <c r="C65" s="110" t="s">
        <v>492</v>
      </c>
      <c r="D65" s="143">
        <v>0</v>
      </c>
      <c r="H65" s="23"/>
    </row>
    <row r="66" spans="2:8" ht="13.5" customHeight="1" thickBot="1">
      <c r="B66" s="312" t="s">
        <v>693</v>
      </c>
      <c r="C66" s="144" t="s">
        <v>492</v>
      </c>
      <c r="D66" s="145">
        <v>0.2</v>
      </c>
    </row>
    <row r="67" spans="2:8" ht="16.5" hidden="1" customHeight="1" thickBot="1">
      <c r="B67" s="503" t="s">
        <v>393</v>
      </c>
      <c r="C67" s="504" t="s">
        <v>492</v>
      </c>
      <c r="D67" s="505">
        <v>1</v>
      </c>
      <c r="E67" s="60"/>
    </row>
    <row r="68" spans="2:8">
      <c r="B68" s="506"/>
      <c r="C68" s="111"/>
      <c r="D68" s="519"/>
    </row>
    <row r="69" spans="2:8" ht="15">
      <c r="B69" s="515"/>
      <c r="C69" s="111"/>
      <c r="D69" s="519"/>
      <c r="E69" s="90"/>
      <c r="F69" s="14"/>
      <c r="G69" s="14"/>
    </row>
    <row r="70" spans="2:8" ht="15.75">
      <c r="B70" s="99"/>
      <c r="C70" s="108"/>
      <c r="D70" s="98"/>
    </row>
    <row r="71" spans="2:8">
      <c r="B71" s="517"/>
      <c r="C71"/>
      <c r="D71"/>
      <c r="E71"/>
    </row>
    <row r="72" spans="2:8">
      <c r="B72"/>
      <c r="C72"/>
      <c r="D72"/>
      <c r="E72" s="97"/>
    </row>
    <row r="107" spans="8:8">
      <c r="H107" s="21"/>
    </row>
  </sheetData>
  <mergeCells count="6">
    <mergeCell ref="B24:D24"/>
    <mergeCell ref="B2:D2"/>
    <mergeCell ref="E21:H21"/>
    <mergeCell ref="E22:H22"/>
    <mergeCell ref="E19:H19"/>
    <mergeCell ref="E20:H20"/>
  </mergeCells>
  <phoneticPr fontId="0" type="noConversion"/>
  <pageMargins left="0.39370078740157483" right="0.39370078740157483" top="1.1811023622047245" bottom="0.39370078740157483" header="0.19685039370078741" footer="0.35433070866141736"/>
  <pageSetup paperSize="9" scale="70" fitToWidth="0" fitToHeight="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28"/>
  <dimension ref="A1:L135"/>
  <sheetViews>
    <sheetView workbookViewId="0">
      <selection activeCell="B134" sqref="A134:H135"/>
    </sheetView>
  </sheetViews>
  <sheetFormatPr defaultRowHeight="12.75"/>
  <cols>
    <col min="2" max="2" width="16.42578125" customWidth="1"/>
    <col min="3" max="3" width="11" customWidth="1"/>
    <col min="4" max="4" width="28.140625" customWidth="1"/>
    <col min="5" max="5" width="11" customWidth="1"/>
    <col min="6" max="6" width="10.7109375" customWidth="1"/>
    <col min="7" max="7" width="11.5703125" customWidth="1"/>
    <col min="8" max="8" width="12.7109375" customWidth="1"/>
    <col min="10" max="11" width="9.5703125" bestFit="1" customWidth="1"/>
  </cols>
  <sheetData>
    <row r="1" spans="1:10" ht="33" customHeight="1">
      <c r="A1" s="1704" t="s">
        <v>12</v>
      </c>
      <c r="B1" s="1705"/>
      <c r="C1" s="1705"/>
      <c r="D1" s="1705"/>
      <c r="E1" s="1705"/>
      <c r="F1" s="1705"/>
      <c r="G1" s="1705"/>
      <c r="H1" s="1706"/>
    </row>
    <row r="2" spans="1:10" ht="15.75">
      <c r="A2" s="310"/>
      <c r="B2" s="311"/>
      <c r="C2" s="311"/>
      <c r="D2" s="157"/>
      <c r="E2" s="157"/>
      <c r="F2" s="157"/>
      <c r="G2" s="157"/>
      <c r="H2" s="158"/>
    </row>
    <row r="3" spans="1:10" ht="16.5" thickBot="1">
      <c r="A3" s="156"/>
      <c r="B3" s="157"/>
      <c r="C3" s="157"/>
      <c r="D3" s="157"/>
      <c r="E3" s="157"/>
      <c r="F3" s="157"/>
      <c r="G3" s="157"/>
      <c r="H3" s="158"/>
    </row>
    <row r="4" spans="1:10" ht="60.75" customHeight="1" thickBot="1">
      <c r="A4" s="161" t="s">
        <v>380</v>
      </c>
      <c r="B4" s="165" t="s">
        <v>381</v>
      </c>
      <c r="C4" s="239" t="s">
        <v>521</v>
      </c>
      <c r="D4" s="165" t="s">
        <v>522</v>
      </c>
      <c r="E4" s="166" t="s">
        <v>523</v>
      </c>
      <c r="F4" s="166" t="s">
        <v>524</v>
      </c>
      <c r="G4" s="240" t="s">
        <v>525</v>
      </c>
      <c r="H4" s="308" t="s">
        <v>526</v>
      </c>
    </row>
    <row r="5" spans="1:10" ht="18.75" customHeight="1">
      <c r="A5" s="159">
        <v>1</v>
      </c>
      <c r="B5" s="1710" t="s">
        <v>532</v>
      </c>
      <c r="C5" s="1707">
        <v>7</v>
      </c>
      <c r="D5" s="170" t="s">
        <v>533</v>
      </c>
      <c r="E5" s="171">
        <v>12</v>
      </c>
      <c r="F5" s="171">
        <v>1</v>
      </c>
      <c r="G5" s="224">
        <v>165</v>
      </c>
      <c r="H5" s="172">
        <f>F5*G5*C5</f>
        <v>1155</v>
      </c>
      <c r="J5" t="s">
        <v>417</v>
      </c>
    </row>
    <row r="6" spans="1:10" ht="15.75">
      <c r="A6" s="162"/>
      <c r="B6" s="1702"/>
      <c r="C6" s="1708"/>
      <c r="D6" s="173" t="s">
        <v>534</v>
      </c>
      <c r="E6" s="167">
        <v>12</v>
      </c>
      <c r="F6" s="167">
        <v>1</v>
      </c>
      <c r="G6" s="225">
        <v>150</v>
      </c>
      <c r="H6" s="174">
        <f>G6*F6*C5</f>
        <v>1050</v>
      </c>
    </row>
    <row r="7" spans="1:10" ht="15.75">
      <c r="A7" s="162"/>
      <c r="B7" s="162"/>
      <c r="C7" s="1708"/>
      <c r="D7" s="173" t="s">
        <v>535</v>
      </c>
      <c r="E7" s="167">
        <v>3</v>
      </c>
      <c r="F7" s="167">
        <f>12/E7</f>
        <v>4</v>
      </c>
      <c r="G7" s="226">
        <v>29.3</v>
      </c>
      <c r="H7" s="174">
        <f>G7*F7*C5</f>
        <v>820.4</v>
      </c>
    </row>
    <row r="8" spans="1:10" ht="15.75">
      <c r="A8" s="163"/>
      <c r="B8" s="163"/>
      <c r="C8" s="1708"/>
      <c r="D8" s="173" t="s">
        <v>536</v>
      </c>
      <c r="E8" s="167">
        <v>1</v>
      </c>
      <c r="F8" s="167">
        <v>12</v>
      </c>
      <c r="G8" s="528">
        <v>12</v>
      </c>
      <c r="H8" s="174">
        <f>G8*F8*C5</f>
        <v>1008</v>
      </c>
    </row>
    <row r="9" spans="1:10" ht="15.75">
      <c r="A9" s="163"/>
      <c r="B9" s="163"/>
      <c r="C9" s="1708"/>
      <c r="D9" s="173" t="s">
        <v>537</v>
      </c>
      <c r="E9" s="167" t="s">
        <v>538</v>
      </c>
      <c r="F9" s="167">
        <v>1</v>
      </c>
      <c r="G9" s="226">
        <v>105</v>
      </c>
      <c r="H9" s="174">
        <f>G9*F9</f>
        <v>105</v>
      </c>
    </row>
    <row r="10" spans="1:10" ht="15.75">
      <c r="A10" s="163"/>
      <c r="B10" s="163"/>
      <c r="C10" s="1708"/>
      <c r="D10" s="173" t="s">
        <v>539</v>
      </c>
      <c r="E10" s="167">
        <v>6</v>
      </c>
      <c r="F10" s="167">
        <v>2</v>
      </c>
      <c r="G10" s="226">
        <v>63</v>
      </c>
      <c r="H10" s="174">
        <f>G10*F10*C5</f>
        <v>882</v>
      </c>
    </row>
    <row r="11" spans="1:10" ht="16.5" thickBot="1">
      <c r="A11" s="164"/>
      <c r="B11" s="164"/>
      <c r="C11" s="1709"/>
      <c r="D11" s="175" t="s">
        <v>540</v>
      </c>
      <c r="E11" s="176">
        <v>36</v>
      </c>
      <c r="F11" s="176">
        <v>0.33</v>
      </c>
      <c r="G11" s="229">
        <v>450</v>
      </c>
      <c r="H11" s="177">
        <f>G11*F11*C5</f>
        <v>1039.5</v>
      </c>
    </row>
    <row r="12" spans="1:10" ht="15">
      <c r="A12" s="169">
        <v>2</v>
      </c>
      <c r="B12" s="1699" t="s">
        <v>541</v>
      </c>
      <c r="C12" s="169">
        <v>1</v>
      </c>
      <c r="D12" s="230" t="s">
        <v>636</v>
      </c>
      <c r="E12" s="185">
        <v>12</v>
      </c>
      <c r="F12" s="185">
        <v>1</v>
      </c>
      <c r="G12" s="523">
        <v>360</v>
      </c>
      <c r="H12" s="231">
        <f>F12*G12</f>
        <v>360</v>
      </c>
      <c r="J12" s="241" t="s">
        <v>415</v>
      </c>
    </row>
    <row r="13" spans="1:10" ht="15">
      <c r="A13" s="178"/>
      <c r="B13" s="1700"/>
      <c r="C13" s="178"/>
      <c r="D13" s="189" t="s">
        <v>536</v>
      </c>
      <c r="E13" s="182">
        <v>3</v>
      </c>
      <c r="F13" s="182">
        <v>4</v>
      </c>
      <c r="G13" s="522">
        <v>12</v>
      </c>
      <c r="H13" s="174">
        <f>F13*G13</f>
        <v>48</v>
      </c>
    </row>
    <row r="14" spans="1:10" ht="15">
      <c r="A14" s="178"/>
      <c r="B14" s="1700"/>
      <c r="C14" s="178"/>
      <c r="D14" s="189" t="s">
        <v>540</v>
      </c>
      <c r="E14" s="182">
        <v>36</v>
      </c>
      <c r="F14" s="182">
        <v>0.33</v>
      </c>
      <c r="G14" s="183">
        <v>450</v>
      </c>
      <c r="H14" s="174">
        <f>F14*G14</f>
        <v>148.5</v>
      </c>
    </row>
    <row r="15" spans="1:10" ht="15.75" thickBot="1">
      <c r="A15" s="179"/>
      <c r="B15" s="1701"/>
      <c r="C15" s="179"/>
      <c r="D15" s="190" t="s">
        <v>542</v>
      </c>
      <c r="E15" s="191">
        <v>36</v>
      </c>
      <c r="F15" s="191">
        <v>0.33</v>
      </c>
      <c r="G15" s="192">
        <v>294</v>
      </c>
      <c r="H15" s="177">
        <f>F15*G15</f>
        <v>97.02000000000001</v>
      </c>
    </row>
    <row r="16" spans="1:10" ht="15">
      <c r="A16" s="169">
        <v>3</v>
      </c>
      <c r="B16" s="1699" t="s">
        <v>543</v>
      </c>
      <c r="C16" s="169">
        <v>3</v>
      </c>
      <c r="D16" s="186" t="s">
        <v>637</v>
      </c>
      <c r="E16" s="187">
        <v>12</v>
      </c>
      <c r="F16" s="187">
        <v>1</v>
      </c>
      <c r="G16" s="524">
        <v>360</v>
      </c>
      <c r="H16" s="172">
        <f>F16*G16*C16</f>
        <v>1080</v>
      </c>
      <c r="J16" t="s">
        <v>418</v>
      </c>
    </row>
    <row r="17" spans="1:10" ht="15">
      <c r="A17" s="160"/>
      <c r="B17" s="1702"/>
      <c r="C17" s="178"/>
      <c r="D17" s="189" t="s">
        <v>536</v>
      </c>
      <c r="E17" s="182">
        <v>3</v>
      </c>
      <c r="F17" s="182">
        <v>4</v>
      </c>
      <c r="G17" s="522">
        <v>12</v>
      </c>
      <c r="H17" s="174">
        <f>F17*G17*C16</f>
        <v>144</v>
      </c>
    </row>
    <row r="18" spans="1:10" ht="15">
      <c r="A18" s="160"/>
      <c r="B18" s="1702"/>
      <c r="C18" s="178"/>
      <c r="D18" s="189" t="s">
        <v>540</v>
      </c>
      <c r="E18" s="182">
        <v>36</v>
      </c>
      <c r="F18" s="182">
        <v>0.33</v>
      </c>
      <c r="G18" s="183">
        <v>450</v>
      </c>
      <c r="H18" s="174">
        <f>F18*G18*C16</f>
        <v>445.5</v>
      </c>
    </row>
    <row r="19" spans="1:10" ht="15">
      <c r="A19" s="160"/>
      <c r="B19" s="1702"/>
      <c r="C19" s="178"/>
      <c r="D19" s="189" t="s">
        <v>542</v>
      </c>
      <c r="E19" s="182">
        <v>36</v>
      </c>
      <c r="F19" s="182">
        <v>0.33</v>
      </c>
      <c r="G19" s="183">
        <v>294</v>
      </c>
      <c r="H19" s="174">
        <f>F19*G19*C16</f>
        <v>291.06000000000006</v>
      </c>
    </row>
    <row r="20" spans="1:10" ht="15.75" thickBot="1">
      <c r="A20" s="180"/>
      <c r="B20" s="1703"/>
      <c r="C20" s="179"/>
      <c r="D20" s="190" t="s">
        <v>544</v>
      </c>
      <c r="E20" s="191">
        <v>24</v>
      </c>
      <c r="F20" s="191">
        <v>0.5</v>
      </c>
      <c r="G20" s="192">
        <v>420</v>
      </c>
      <c r="H20" s="177">
        <f>F20*G20*C16</f>
        <v>630</v>
      </c>
    </row>
    <row r="21" spans="1:10" ht="15">
      <c r="A21" s="169">
        <v>4</v>
      </c>
      <c r="B21" s="1711" t="s">
        <v>545</v>
      </c>
      <c r="C21" s="169">
        <v>3</v>
      </c>
      <c r="D21" s="186" t="s">
        <v>637</v>
      </c>
      <c r="E21" s="187">
        <v>13</v>
      </c>
      <c r="F21" s="187">
        <v>0.92</v>
      </c>
      <c r="G21" s="524">
        <v>360</v>
      </c>
      <c r="H21" s="172">
        <f>F21*G21*C21</f>
        <v>993.59999999999991</v>
      </c>
      <c r="J21" t="s">
        <v>421</v>
      </c>
    </row>
    <row r="22" spans="1:10" ht="15">
      <c r="A22" s="178"/>
      <c r="B22" s="1712"/>
      <c r="C22" s="178"/>
      <c r="D22" s="189" t="s">
        <v>536</v>
      </c>
      <c r="E22" s="182">
        <v>3</v>
      </c>
      <c r="F22" s="182">
        <v>4</v>
      </c>
      <c r="G22" s="522">
        <v>12</v>
      </c>
      <c r="H22" s="174">
        <f>F22*G22*C21</f>
        <v>144</v>
      </c>
    </row>
    <row r="23" spans="1:10" ht="15">
      <c r="A23" s="178"/>
      <c r="B23" s="1712"/>
      <c r="C23" s="178"/>
      <c r="D23" s="189" t="s">
        <v>546</v>
      </c>
      <c r="E23" s="182">
        <v>12</v>
      </c>
      <c r="F23" s="182">
        <v>1</v>
      </c>
      <c r="G23" s="183">
        <v>390</v>
      </c>
      <c r="H23" s="174">
        <f>F23*G23*C21</f>
        <v>1170</v>
      </c>
    </row>
    <row r="24" spans="1:10" ht="15">
      <c r="A24" s="178"/>
      <c r="B24" s="1712"/>
      <c r="C24" s="178"/>
      <c r="D24" s="189" t="s">
        <v>540</v>
      </c>
      <c r="E24" s="182">
        <v>36</v>
      </c>
      <c r="F24" s="182">
        <v>0.33</v>
      </c>
      <c r="G24" s="183">
        <v>450</v>
      </c>
      <c r="H24" s="174">
        <f>F24*G24*C21</f>
        <v>445.5</v>
      </c>
    </row>
    <row r="25" spans="1:10" ht="15">
      <c r="A25" s="178"/>
      <c r="B25" s="1712"/>
      <c r="C25" s="178"/>
      <c r="D25" s="189" t="s">
        <v>560</v>
      </c>
      <c r="E25" s="182">
        <v>36</v>
      </c>
      <c r="F25" s="182">
        <v>0.33</v>
      </c>
      <c r="G25" s="168">
        <v>600</v>
      </c>
      <c r="H25" s="174">
        <f>F25*G25*C21</f>
        <v>594</v>
      </c>
    </row>
    <row r="26" spans="1:10" ht="15.75" thickBot="1">
      <c r="A26" s="179"/>
      <c r="B26" s="1713"/>
      <c r="C26" s="179"/>
      <c r="D26" s="190" t="s">
        <v>547</v>
      </c>
      <c r="E26" s="191">
        <v>48</v>
      </c>
      <c r="F26" s="191">
        <v>0.25</v>
      </c>
      <c r="G26" s="192">
        <v>420</v>
      </c>
      <c r="H26" s="177">
        <f>F26*G26*C21</f>
        <v>315</v>
      </c>
    </row>
    <row r="27" spans="1:10" ht="15">
      <c r="A27" s="169">
        <v>5</v>
      </c>
      <c r="B27" s="1699" t="s">
        <v>548</v>
      </c>
      <c r="C27" s="169">
        <v>4</v>
      </c>
      <c r="D27" s="186" t="s">
        <v>549</v>
      </c>
      <c r="E27" s="187">
        <v>12</v>
      </c>
      <c r="F27" s="187">
        <v>1</v>
      </c>
      <c r="G27" s="188">
        <v>720</v>
      </c>
      <c r="H27" s="172">
        <f>F27*G27*C27</f>
        <v>2880</v>
      </c>
      <c r="J27" t="s">
        <v>418</v>
      </c>
    </row>
    <row r="28" spans="1:10" ht="15">
      <c r="A28" s="160"/>
      <c r="B28" s="1700"/>
      <c r="C28" s="160"/>
      <c r="D28" s="189" t="s">
        <v>550</v>
      </c>
      <c r="E28" s="182">
        <v>12</v>
      </c>
      <c r="F28" s="182">
        <v>1</v>
      </c>
      <c r="G28" s="520">
        <v>375</v>
      </c>
      <c r="H28" s="174">
        <f>F28*G28*C27</f>
        <v>1500</v>
      </c>
    </row>
    <row r="29" spans="1:10" ht="15">
      <c r="A29" s="160"/>
      <c r="B29" s="1700"/>
      <c r="C29" s="160"/>
      <c r="D29" s="189" t="s">
        <v>551</v>
      </c>
      <c r="E29" s="182">
        <v>1</v>
      </c>
      <c r="F29" s="182">
        <v>12</v>
      </c>
      <c r="G29" s="183">
        <v>39.299999999999997</v>
      </c>
      <c r="H29" s="174">
        <f>F29*G29*C27</f>
        <v>1886.3999999999999</v>
      </c>
    </row>
    <row r="30" spans="1:10" ht="15">
      <c r="A30" s="160"/>
      <c r="B30" s="1700"/>
      <c r="C30" s="160"/>
      <c r="D30" s="189" t="s">
        <v>552</v>
      </c>
      <c r="E30" s="182" t="s">
        <v>527</v>
      </c>
      <c r="F30" s="182">
        <v>1</v>
      </c>
      <c r="G30" s="168">
        <v>51</v>
      </c>
      <c r="H30" s="174">
        <f>F30*G30*C27</f>
        <v>204</v>
      </c>
    </row>
    <row r="31" spans="1:10" ht="15">
      <c r="A31" s="160"/>
      <c r="B31" s="1700"/>
      <c r="C31" s="160"/>
      <c r="D31" s="189" t="s">
        <v>529</v>
      </c>
      <c r="E31" s="182" t="s">
        <v>530</v>
      </c>
      <c r="F31" s="182">
        <v>1</v>
      </c>
      <c r="G31" s="168">
        <v>233</v>
      </c>
      <c r="H31" s="174">
        <f>F31*G31</f>
        <v>233</v>
      </c>
    </row>
    <row r="32" spans="1:10" ht="30">
      <c r="A32" s="160"/>
      <c r="B32" s="1700"/>
      <c r="C32" s="160"/>
      <c r="D32" s="194" t="s">
        <v>553</v>
      </c>
      <c r="E32" s="182" t="s">
        <v>527</v>
      </c>
      <c r="F32" s="182">
        <v>1</v>
      </c>
      <c r="G32" s="183">
        <v>456</v>
      </c>
      <c r="H32" s="174">
        <f>F32*G32*C27</f>
        <v>1824</v>
      </c>
    </row>
    <row r="33" spans="1:10" ht="15">
      <c r="A33" s="160"/>
      <c r="B33" s="1700"/>
      <c r="C33" s="160"/>
      <c r="D33" s="194" t="s">
        <v>542</v>
      </c>
      <c r="E33" s="182">
        <v>36</v>
      </c>
      <c r="F33" s="182">
        <v>0.33</v>
      </c>
      <c r="G33" s="168">
        <v>294</v>
      </c>
      <c r="H33" s="174">
        <f>F33*G33*C27</f>
        <v>388.08000000000004</v>
      </c>
    </row>
    <row r="34" spans="1:10" ht="15">
      <c r="A34" s="160"/>
      <c r="B34" s="1700"/>
      <c r="C34" s="160"/>
      <c r="D34" s="194" t="s">
        <v>540</v>
      </c>
      <c r="E34" s="182">
        <v>36</v>
      </c>
      <c r="F34" s="182">
        <v>0.33</v>
      </c>
      <c r="G34" s="183">
        <v>450</v>
      </c>
      <c r="H34" s="174">
        <f>F34*G34*C27</f>
        <v>594</v>
      </c>
    </row>
    <row r="35" spans="1:10" ht="15.75" thickBot="1">
      <c r="A35" s="180"/>
      <c r="B35" s="1701"/>
      <c r="C35" s="180"/>
      <c r="D35" s="195" t="s">
        <v>547</v>
      </c>
      <c r="E35" s="191">
        <v>48</v>
      </c>
      <c r="F35" s="191">
        <v>0.25</v>
      </c>
      <c r="G35" s="192">
        <v>420</v>
      </c>
      <c r="H35" s="177">
        <f>F35*G35*C27</f>
        <v>420</v>
      </c>
    </row>
    <row r="36" spans="1:10" ht="15">
      <c r="A36" s="169">
        <v>6</v>
      </c>
      <c r="B36" s="1699" t="s">
        <v>627</v>
      </c>
      <c r="C36" s="219">
        <v>15</v>
      </c>
      <c r="D36" s="186" t="s">
        <v>636</v>
      </c>
      <c r="E36" s="187">
        <v>18</v>
      </c>
      <c r="F36" s="187">
        <v>0.66</v>
      </c>
      <c r="G36" s="524">
        <v>360</v>
      </c>
      <c r="H36" s="172">
        <f>F36*G36*C36</f>
        <v>3564.0000000000005</v>
      </c>
      <c r="J36" t="s">
        <v>419</v>
      </c>
    </row>
    <row r="37" spans="1:10" ht="15">
      <c r="A37" s="160"/>
      <c r="B37" s="1700"/>
      <c r="C37" s="160"/>
      <c r="D37" s="189" t="s">
        <v>628</v>
      </c>
      <c r="E37" s="182">
        <v>24</v>
      </c>
      <c r="F37" s="182">
        <v>0.5</v>
      </c>
      <c r="G37" s="183">
        <v>180</v>
      </c>
      <c r="H37" s="174">
        <f>F37*G37*C36</f>
        <v>1350</v>
      </c>
    </row>
    <row r="38" spans="1:10" ht="15">
      <c r="A38" s="160"/>
      <c r="B38" s="1700"/>
      <c r="C38" s="160"/>
      <c r="D38" s="189" t="s">
        <v>540</v>
      </c>
      <c r="E38" s="182">
        <v>36</v>
      </c>
      <c r="F38" s="182">
        <v>0.33</v>
      </c>
      <c r="G38" s="168">
        <v>450</v>
      </c>
      <c r="H38" s="174">
        <f>F38*G38*C36</f>
        <v>2227.5</v>
      </c>
    </row>
    <row r="39" spans="1:10" ht="15">
      <c r="A39" s="160"/>
      <c r="B39" s="1700"/>
      <c r="C39" s="160"/>
      <c r="D39" s="189" t="s">
        <v>547</v>
      </c>
      <c r="E39" s="182">
        <v>48</v>
      </c>
      <c r="F39" s="182">
        <v>0.25</v>
      </c>
      <c r="G39" s="168">
        <v>420</v>
      </c>
      <c r="H39" s="174">
        <f>F39*G39*C36</f>
        <v>1575</v>
      </c>
    </row>
    <row r="40" spans="1:10" ht="15">
      <c r="A40" s="160"/>
      <c r="B40" s="1700"/>
      <c r="C40" s="160"/>
      <c r="D40" s="189"/>
      <c r="E40" s="182"/>
      <c r="F40" s="182"/>
      <c r="G40" s="168"/>
      <c r="H40" s="174"/>
    </row>
    <row r="41" spans="1:10" ht="15">
      <c r="A41" s="160"/>
      <c r="B41" s="1700"/>
      <c r="C41" s="160"/>
      <c r="D41" s="189"/>
      <c r="E41" s="182"/>
      <c r="F41" s="182"/>
      <c r="G41" s="168"/>
      <c r="H41" s="174"/>
    </row>
    <row r="42" spans="1:10" ht="15">
      <c r="A42" s="160"/>
      <c r="B42" s="1700"/>
      <c r="C42" s="160"/>
      <c r="D42" s="189"/>
      <c r="E42" s="182"/>
      <c r="F42" s="182"/>
      <c r="G42" s="168"/>
      <c r="H42" s="174"/>
    </row>
    <row r="43" spans="1:10" ht="15">
      <c r="A43" s="160"/>
      <c r="B43" s="1700"/>
      <c r="C43" s="160"/>
      <c r="D43" s="189"/>
      <c r="E43" s="182"/>
      <c r="F43" s="182"/>
      <c r="G43" s="168"/>
      <c r="H43" s="174"/>
    </row>
    <row r="44" spans="1:10" ht="15.75" thickBot="1">
      <c r="A44" s="160"/>
      <c r="B44" s="1700"/>
      <c r="C44" s="160"/>
      <c r="D44" s="196"/>
      <c r="E44" s="184"/>
      <c r="F44" s="184"/>
      <c r="G44" s="193"/>
      <c r="H44" s="181"/>
    </row>
    <row r="45" spans="1:10" ht="15">
      <c r="A45" s="169">
        <v>7</v>
      </c>
      <c r="B45" s="1699" t="s">
        <v>629</v>
      </c>
      <c r="C45" s="228">
        <v>1</v>
      </c>
      <c r="D45" s="186" t="s">
        <v>637</v>
      </c>
      <c r="E45" s="187">
        <v>12</v>
      </c>
      <c r="F45" s="187">
        <v>1</v>
      </c>
      <c r="G45" s="525">
        <v>360</v>
      </c>
      <c r="H45" s="172">
        <f t="shared" ref="H45:H56" si="0">F45*G45</f>
        <v>360</v>
      </c>
      <c r="J45" t="s">
        <v>420</v>
      </c>
    </row>
    <row r="46" spans="1:10" ht="15">
      <c r="A46" s="160"/>
      <c r="B46" s="1700"/>
      <c r="C46" s="232"/>
      <c r="D46" s="189" t="s">
        <v>550</v>
      </c>
      <c r="E46" s="182">
        <v>12</v>
      </c>
      <c r="F46" s="182">
        <v>1</v>
      </c>
      <c r="G46" s="520">
        <v>375</v>
      </c>
      <c r="H46" s="174">
        <f t="shared" si="0"/>
        <v>375</v>
      </c>
    </row>
    <row r="47" spans="1:10" ht="15">
      <c r="A47" s="160"/>
      <c r="B47" s="1700"/>
      <c r="C47" s="232"/>
      <c r="D47" s="189" t="s">
        <v>536</v>
      </c>
      <c r="E47" s="182">
        <v>1</v>
      </c>
      <c r="F47" s="182">
        <v>12</v>
      </c>
      <c r="G47" s="522">
        <v>12</v>
      </c>
      <c r="H47" s="174">
        <f t="shared" si="0"/>
        <v>144</v>
      </c>
    </row>
    <row r="48" spans="1:10" ht="15">
      <c r="A48" s="160"/>
      <c r="B48" s="1700"/>
      <c r="C48" s="232"/>
      <c r="D48" s="189" t="s">
        <v>540</v>
      </c>
      <c r="E48" s="182">
        <v>36</v>
      </c>
      <c r="F48" s="182">
        <v>0.33</v>
      </c>
      <c r="G48" s="168">
        <v>450</v>
      </c>
      <c r="H48" s="174">
        <f t="shared" si="0"/>
        <v>148.5</v>
      </c>
    </row>
    <row r="49" spans="1:10" ht="15">
      <c r="A49" s="160"/>
      <c r="B49" s="1700"/>
      <c r="C49" s="232"/>
      <c r="D49" s="189" t="s">
        <v>542</v>
      </c>
      <c r="E49" s="182">
        <v>36</v>
      </c>
      <c r="F49" s="182">
        <v>0.33</v>
      </c>
      <c r="G49" s="168">
        <v>294</v>
      </c>
      <c r="H49" s="174">
        <f t="shared" si="0"/>
        <v>97.02000000000001</v>
      </c>
    </row>
    <row r="50" spans="1:10" ht="15">
      <c r="A50" s="160"/>
      <c r="B50" s="1700"/>
      <c r="C50" s="232"/>
      <c r="D50" s="189" t="s">
        <v>547</v>
      </c>
      <c r="E50" s="182">
        <v>48</v>
      </c>
      <c r="F50" s="182">
        <v>0.25</v>
      </c>
      <c r="G50" s="168">
        <v>420</v>
      </c>
      <c r="H50" s="174">
        <f t="shared" si="0"/>
        <v>105</v>
      </c>
    </row>
    <row r="51" spans="1:10" ht="15">
      <c r="A51" s="160"/>
      <c r="B51" s="1700"/>
      <c r="C51" s="232"/>
      <c r="D51" s="189" t="s">
        <v>630</v>
      </c>
      <c r="E51" s="182" t="s">
        <v>527</v>
      </c>
      <c r="F51" s="182">
        <v>1</v>
      </c>
      <c r="G51" s="168">
        <v>85</v>
      </c>
      <c r="H51" s="174">
        <f t="shared" si="0"/>
        <v>85</v>
      </c>
    </row>
    <row r="52" spans="1:10" ht="15.75" thickBot="1">
      <c r="A52" s="180"/>
      <c r="B52" s="1701"/>
      <c r="C52" s="233"/>
      <c r="D52" s="196" t="s">
        <v>552</v>
      </c>
      <c r="E52" s="184" t="s">
        <v>527</v>
      </c>
      <c r="F52" s="184">
        <v>1</v>
      </c>
      <c r="G52" s="193">
        <v>51</v>
      </c>
      <c r="H52" s="181">
        <f t="shared" si="0"/>
        <v>51</v>
      </c>
    </row>
    <row r="53" spans="1:10" ht="15">
      <c r="A53" s="169">
        <v>8</v>
      </c>
      <c r="B53" s="1699" t="s">
        <v>631</v>
      </c>
      <c r="C53" s="228">
        <v>1</v>
      </c>
      <c r="D53" s="186" t="s">
        <v>632</v>
      </c>
      <c r="E53" s="187">
        <v>12</v>
      </c>
      <c r="F53" s="187">
        <v>1</v>
      </c>
      <c r="G53" s="188">
        <v>165</v>
      </c>
      <c r="H53" s="172">
        <f t="shared" si="0"/>
        <v>165</v>
      </c>
      <c r="J53" t="s">
        <v>418</v>
      </c>
    </row>
    <row r="54" spans="1:10" ht="15">
      <c r="A54" s="160"/>
      <c r="B54" s="1702"/>
      <c r="C54" s="232"/>
      <c r="D54" s="189" t="s">
        <v>536</v>
      </c>
      <c r="E54" s="182">
        <v>3</v>
      </c>
      <c r="F54" s="182">
        <v>4</v>
      </c>
      <c r="G54" s="522">
        <v>12</v>
      </c>
      <c r="H54" s="174">
        <f t="shared" si="0"/>
        <v>48</v>
      </c>
    </row>
    <row r="55" spans="1:10" ht="15">
      <c r="A55" s="160"/>
      <c r="B55" s="1702"/>
      <c r="C55" s="232"/>
      <c r="D55" s="189" t="s">
        <v>537</v>
      </c>
      <c r="E55" s="182" t="s">
        <v>531</v>
      </c>
      <c r="F55" s="182">
        <v>1</v>
      </c>
      <c r="G55" s="168">
        <v>105</v>
      </c>
      <c r="H55" s="174">
        <f t="shared" si="0"/>
        <v>105</v>
      </c>
    </row>
    <row r="56" spans="1:10" ht="15.75" thickBot="1">
      <c r="A56" s="180"/>
      <c r="B56" s="1703"/>
      <c r="C56" s="233"/>
      <c r="D56" s="190" t="s">
        <v>540</v>
      </c>
      <c r="E56" s="191">
        <v>36</v>
      </c>
      <c r="F56" s="191">
        <v>0.33</v>
      </c>
      <c r="G56" s="192">
        <v>450</v>
      </c>
      <c r="H56" s="177">
        <f t="shared" si="0"/>
        <v>148.5</v>
      </c>
    </row>
    <row r="57" spans="1:10" ht="15">
      <c r="A57" s="169">
        <v>9</v>
      </c>
      <c r="B57" s="1699" t="s">
        <v>633</v>
      </c>
      <c r="C57" s="169">
        <v>53.5</v>
      </c>
      <c r="D57" s="230" t="s">
        <v>637</v>
      </c>
      <c r="E57" s="185">
        <v>12</v>
      </c>
      <c r="F57" s="185">
        <v>1</v>
      </c>
      <c r="G57" s="523">
        <v>360</v>
      </c>
      <c r="H57" s="231">
        <f>F57*G57*C57</f>
        <v>19260</v>
      </c>
      <c r="J57" t="s">
        <v>420</v>
      </c>
    </row>
    <row r="58" spans="1:10" ht="15">
      <c r="A58" s="160"/>
      <c r="B58" s="1700"/>
      <c r="C58" s="160"/>
      <c r="D58" s="189" t="s">
        <v>536</v>
      </c>
      <c r="E58" s="182">
        <v>1</v>
      </c>
      <c r="F58" s="182">
        <v>12</v>
      </c>
      <c r="G58" s="522">
        <v>12</v>
      </c>
      <c r="H58" s="174">
        <f>F58*G58*C57</f>
        <v>7704</v>
      </c>
    </row>
    <row r="59" spans="1:10" ht="15.75" thickBot="1">
      <c r="A59" s="197"/>
      <c r="B59" s="1701"/>
      <c r="C59" s="180"/>
      <c r="D59" s="190" t="s">
        <v>634</v>
      </c>
      <c r="E59" s="191">
        <v>18</v>
      </c>
      <c r="F59" s="191">
        <v>0.66</v>
      </c>
      <c r="G59" s="526">
        <v>375</v>
      </c>
      <c r="H59" s="177">
        <f>F59*G59*C57</f>
        <v>13241.25</v>
      </c>
    </row>
    <row r="60" spans="1:10" ht="15">
      <c r="A60" s="198">
        <v>10</v>
      </c>
      <c r="B60" s="1699" t="s">
        <v>635</v>
      </c>
      <c r="C60" s="169">
        <v>4</v>
      </c>
      <c r="D60" s="186" t="s">
        <v>636</v>
      </c>
      <c r="E60" s="187">
        <v>12</v>
      </c>
      <c r="F60" s="187">
        <v>1</v>
      </c>
      <c r="G60" s="524">
        <v>360</v>
      </c>
      <c r="H60" s="172">
        <f>F60*G60*C60</f>
        <v>1440</v>
      </c>
      <c r="J60" t="s">
        <v>421</v>
      </c>
    </row>
    <row r="61" spans="1:10" ht="15">
      <c r="A61" s="199"/>
      <c r="B61" s="1700"/>
      <c r="C61" s="160"/>
      <c r="D61" s="189" t="s">
        <v>638</v>
      </c>
      <c r="E61" s="182">
        <v>12</v>
      </c>
      <c r="F61" s="182">
        <v>1</v>
      </c>
      <c r="G61" s="168">
        <v>342</v>
      </c>
      <c r="H61" s="174">
        <f>F61*G61*C60</f>
        <v>1368</v>
      </c>
    </row>
    <row r="62" spans="1:10" ht="15">
      <c r="A62" s="199"/>
      <c r="B62" s="1700"/>
      <c r="C62" s="160"/>
      <c r="D62" s="189" t="s">
        <v>534</v>
      </c>
      <c r="E62" s="182">
        <v>12</v>
      </c>
      <c r="F62" s="182">
        <v>1</v>
      </c>
      <c r="G62" s="168">
        <v>150</v>
      </c>
      <c r="H62" s="174">
        <f>F62*G62*C60</f>
        <v>600</v>
      </c>
    </row>
    <row r="63" spans="1:10" ht="15">
      <c r="A63" s="199"/>
      <c r="B63" s="160"/>
      <c r="C63" s="160"/>
      <c r="D63" s="189" t="s">
        <v>536</v>
      </c>
      <c r="E63" s="182">
        <v>1</v>
      </c>
      <c r="F63" s="182">
        <v>12</v>
      </c>
      <c r="G63" s="522">
        <v>12</v>
      </c>
      <c r="H63" s="174">
        <f>F63*G63*C60</f>
        <v>576</v>
      </c>
    </row>
    <row r="64" spans="1:10" ht="15">
      <c r="A64" s="199"/>
      <c r="B64" s="160"/>
      <c r="C64" s="160"/>
      <c r="D64" s="189" t="s">
        <v>528</v>
      </c>
      <c r="E64" s="182" t="s">
        <v>531</v>
      </c>
      <c r="F64" s="182">
        <v>1</v>
      </c>
      <c r="G64" s="168">
        <v>490</v>
      </c>
      <c r="H64" s="174">
        <f>F64*G64</f>
        <v>490</v>
      </c>
    </row>
    <row r="65" spans="1:8" ht="15">
      <c r="A65" s="199"/>
      <c r="B65" s="160"/>
      <c r="C65" s="160"/>
      <c r="D65" s="189" t="s">
        <v>639</v>
      </c>
      <c r="E65" s="182" t="s">
        <v>531</v>
      </c>
      <c r="F65" s="182">
        <v>1</v>
      </c>
      <c r="G65" s="168">
        <v>180</v>
      </c>
      <c r="H65" s="174">
        <f>G65*F65</f>
        <v>180</v>
      </c>
    </row>
    <row r="66" spans="1:8" ht="15">
      <c r="A66" s="200"/>
      <c r="B66" s="1700"/>
      <c r="C66" s="160"/>
      <c r="D66" s="189" t="s">
        <v>540</v>
      </c>
      <c r="E66" s="182">
        <v>24</v>
      </c>
      <c r="F66" s="182">
        <v>0.5</v>
      </c>
      <c r="G66" s="168">
        <v>450</v>
      </c>
      <c r="H66" s="174">
        <f>G66*F66*C60</f>
        <v>900</v>
      </c>
    </row>
    <row r="67" spans="1:8" ht="15.75" thickBot="1">
      <c r="A67" s="201"/>
      <c r="B67" s="1701"/>
      <c r="C67" s="180"/>
      <c r="D67" s="190" t="s">
        <v>542</v>
      </c>
      <c r="E67" s="191">
        <v>24</v>
      </c>
      <c r="F67" s="191">
        <v>0.5</v>
      </c>
      <c r="G67" s="192">
        <v>294</v>
      </c>
      <c r="H67" s="177">
        <f>G67*F67*C60</f>
        <v>588</v>
      </c>
    </row>
    <row r="68" spans="1:8" ht="15">
      <c r="A68" s="202">
        <v>11</v>
      </c>
      <c r="B68" s="1699" t="s">
        <v>640</v>
      </c>
      <c r="C68" s="169">
        <v>14</v>
      </c>
      <c r="D68" s="186" t="s">
        <v>636</v>
      </c>
      <c r="E68" s="187">
        <v>12</v>
      </c>
      <c r="F68" s="187">
        <v>1</v>
      </c>
      <c r="G68" s="524">
        <v>360</v>
      </c>
      <c r="H68" s="172">
        <f>G68*F68*C68</f>
        <v>5040</v>
      </c>
    </row>
    <row r="69" spans="1:8" ht="15">
      <c r="A69" s="200"/>
      <c r="B69" s="1700"/>
      <c r="C69" s="160"/>
      <c r="D69" s="189" t="s">
        <v>634</v>
      </c>
      <c r="E69" s="182">
        <v>12</v>
      </c>
      <c r="F69" s="182">
        <v>1</v>
      </c>
      <c r="G69" s="522">
        <v>375</v>
      </c>
      <c r="H69" s="174">
        <f>G69*F69*C68</f>
        <v>5250</v>
      </c>
    </row>
    <row r="70" spans="1:8" ht="15">
      <c r="A70" s="200"/>
      <c r="B70" s="1700"/>
      <c r="C70" s="160"/>
      <c r="D70" s="189" t="s">
        <v>536</v>
      </c>
      <c r="E70" s="182">
        <v>1</v>
      </c>
      <c r="F70" s="182">
        <v>12</v>
      </c>
      <c r="G70" s="522">
        <v>12</v>
      </c>
      <c r="H70" s="174">
        <f>G70*F70*C68</f>
        <v>2016</v>
      </c>
    </row>
    <row r="71" spans="1:8" ht="15">
      <c r="A71" s="200"/>
      <c r="B71" s="1700"/>
      <c r="C71" s="160"/>
      <c r="D71" s="189" t="s">
        <v>639</v>
      </c>
      <c r="E71" s="182" t="s">
        <v>531</v>
      </c>
      <c r="F71" s="182">
        <v>1</v>
      </c>
      <c r="G71" s="168">
        <v>180</v>
      </c>
      <c r="H71" s="174">
        <f>G71*F71</f>
        <v>180</v>
      </c>
    </row>
    <row r="72" spans="1:8" ht="15">
      <c r="A72" s="200"/>
      <c r="B72" s="1700"/>
      <c r="C72" s="160"/>
      <c r="D72" s="189" t="s">
        <v>534</v>
      </c>
      <c r="E72" s="182" t="s">
        <v>530</v>
      </c>
      <c r="F72" s="182">
        <v>1</v>
      </c>
      <c r="G72" s="168">
        <v>150</v>
      </c>
      <c r="H72" s="174">
        <f>G72*F72</f>
        <v>150</v>
      </c>
    </row>
    <row r="73" spans="1:8" ht="15.75" thickBot="1">
      <c r="A73" s="197"/>
      <c r="B73" s="1701"/>
      <c r="C73" s="180"/>
      <c r="D73" s="190" t="s">
        <v>540</v>
      </c>
      <c r="E73" s="191">
        <v>36</v>
      </c>
      <c r="F73" s="191">
        <v>0.33</v>
      </c>
      <c r="G73" s="192">
        <v>450</v>
      </c>
      <c r="H73" s="177">
        <f>G73*F73*C68</f>
        <v>2079</v>
      </c>
    </row>
    <row r="74" spans="1:8" ht="15">
      <c r="A74" s="206">
        <v>12</v>
      </c>
      <c r="B74" s="203" t="s">
        <v>641</v>
      </c>
      <c r="C74" s="206">
        <v>5.5</v>
      </c>
      <c r="D74" s="186" t="s">
        <v>636</v>
      </c>
      <c r="E74" s="187">
        <v>12</v>
      </c>
      <c r="F74" s="187">
        <v>1</v>
      </c>
      <c r="G74" s="527">
        <v>360</v>
      </c>
      <c r="H74" s="220">
        <f>G74*F74*C74</f>
        <v>1980</v>
      </c>
    </row>
    <row r="75" spans="1:8" ht="15">
      <c r="A75" s="154"/>
      <c r="B75" s="204"/>
      <c r="C75" s="204"/>
      <c r="D75" s="189" t="s">
        <v>536</v>
      </c>
      <c r="E75" s="182">
        <v>1</v>
      </c>
      <c r="F75" s="182">
        <v>12</v>
      </c>
      <c r="G75" s="522">
        <v>12</v>
      </c>
      <c r="H75" s="221">
        <f>G75*F75*C74</f>
        <v>792</v>
      </c>
    </row>
    <row r="76" spans="1:8" ht="15">
      <c r="A76" s="154"/>
      <c r="B76" s="204"/>
      <c r="C76" s="204"/>
      <c r="D76" s="189" t="s">
        <v>634</v>
      </c>
      <c r="E76" s="182">
        <v>12</v>
      </c>
      <c r="F76" s="182">
        <v>1</v>
      </c>
      <c r="G76" s="521">
        <v>375</v>
      </c>
      <c r="H76" s="221">
        <f>G76*F76*C74</f>
        <v>2062.5</v>
      </c>
    </row>
    <row r="77" spans="1:8" ht="15.75" thickBot="1">
      <c r="A77" s="155"/>
      <c r="B77" s="205"/>
      <c r="C77" s="205"/>
      <c r="D77" s="190" t="s">
        <v>540</v>
      </c>
      <c r="E77" s="191" t="s">
        <v>642</v>
      </c>
      <c r="F77" s="191">
        <v>1</v>
      </c>
      <c r="G77" s="236">
        <v>450</v>
      </c>
      <c r="H77" s="174">
        <f>G77*F77</f>
        <v>450</v>
      </c>
    </row>
    <row r="78" spans="1:8" ht="15">
      <c r="A78" s="206">
        <v>13</v>
      </c>
      <c r="B78" s="1694" t="s">
        <v>469</v>
      </c>
      <c r="C78" s="206">
        <v>4</v>
      </c>
      <c r="D78" s="186" t="s">
        <v>636</v>
      </c>
      <c r="E78" s="187">
        <v>12</v>
      </c>
      <c r="F78" s="187">
        <v>1</v>
      </c>
      <c r="G78" s="527">
        <v>360</v>
      </c>
      <c r="H78" s="220">
        <f>F78*G78*C78</f>
        <v>1440</v>
      </c>
    </row>
    <row r="79" spans="1:8" ht="15">
      <c r="A79" s="154"/>
      <c r="B79" s="1695"/>
      <c r="C79" s="204"/>
      <c r="D79" s="189" t="s">
        <v>634</v>
      </c>
      <c r="E79" s="182">
        <v>12</v>
      </c>
      <c r="F79" s="182">
        <v>1</v>
      </c>
      <c r="G79" s="521">
        <v>375</v>
      </c>
      <c r="H79" s="221">
        <f>G79*F79*C78</f>
        <v>1500</v>
      </c>
    </row>
    <row r="80" spans="1:8" ht="15">
      <c r="A80" s="154"/>
      <c r="B80" s="1695"/>
      <c r="C80" s="204"/>
      <c r="D80" s="189" t="s">
        <v>536</v>
      </c>
      <c r="E80" s="182">
        <v>1</v>
      </c>
      <c r="F80" s="182">
        <v>12</v>
      </c>
      <c r="G80" s="522">
        <v>12</v>
      </c>
      <c r="H80" s="221">
        <f>G80*F80*C78</f>
        <v>576</v>
      </c>
    </row>
    <row r="81" spans="1:8" ht="15.75" thickBot="1">
      <c r="A81" s="155"/>
      <c r="B81" s="1697"/>
      <c r="C81" s="205"/>
      <c r="D81" s="190" t="s">
        <v>540</v>
      </c>
      <c r="E81" s="191">
        <v>36</v>
      </c>
      <c r="F81" s="191">
        <v>0.33</v>
      </c>
      <c r="G81" s="236">
        <v>450</v>
      </c>
      <c r="H81" s="222">
        <f>G81*F81*C78</f>
        <v>594</v>
      </c>
    </row>
    <row r="82" spans="1:8" ht="15">
      <c r="A82" s="206">
        <v>14</v>
      </c>
      <c r="B82" s="1694" t="s">
        <v>470</v>
      </c>
      <c r="C82" s="206">
        <v>0.5</v>
      </c>
      <c r="D82" s="186" t="s">
        <v>636</v>
      </c>
      <c r="E82" s="187">
        <v>12</v>
      </c>
      <c r="F82" s="187">
        <v>1</v>
      </c>
      <c r="G82" s="527">
        <v>360</v>
      </c>
      <c r="H82" s="220">
        <f>G82*F82*C82</f>
        <v>180</v>
      </c>
    </row>
    <row r="83" spans="1:8" ht="15">
      <c r="A83" s="204"/>
      <c r="B83" s="1695"/>
      <c r="C83" s="204"/>
      <c r="D83" s="189" t="s">
        <v>638</v>
      </c>
      <c r="E83" s="182">
        <v>12</v>
      </c>
      <c r="F83" s="182">
        <v>1</v>
      </c>
      <c r="G83" s="235">
        <v>390</v>
      </c>
      <c r="H83" s="221">
        <f>G83*F83*C82</f>
        <v>195</v>
      </c>
    </row>
    <row r="84" spans="1:8" ht="15">
      <c r="A84" s="204"/>
      <c r="B84" s="204"/>
      <c r="C84" s="204"/>
      <c r="D84" s="189" t="s">
        <v>536</v>
      </c>
      <c r="E84" s="182">
        <v>3</v>
      </c>
      <c r="F84" s="182">
        <v>4</v>
      </c>
      <c r="G84" s="522">
        <v>12</v>
      </c>
      <c r="H84" s="221">
        <f>G84*F84*C82</f>
        <v>24</v>
      </c>
    </row>
    <row r="85" spans="1:8" ht="15">
      <c r="A85" s="204"/>
      <c r="B85" s="204"/>
      <c r="C85" s="204"/>
      <c r="D85" s="189" t="s">
        <v>540</v>
      </c>
      <c r="E85" s="182">
        <v>36</v>
      </c>
      <c r="F85" s="182">
        <v>0.33</v>
      </c>
      <c r="G85" s="235">
        <v>450</v>
      </c>
      <c r="H85" s="221">
        <f>G85*F85*C82</f>
        <v>74.25</v>
      </c>
    </row>
    <row r="86" spans="1:8" ht="15">
      <c r="A86" s="204"/>
      <c r="B86" s="204"/>
      <c r="C86" s="204"/>
      <c r="D86" s="189" t="s">
        <v>542</v>
      </c>
      <c r="E86" s="182">
        <v>36</v>
      </c>
      <c r="F86" s="182">
        <v>0.33</v>
      </c>
      <c r="G86" s="235">
        <v>294</v>
      </c>
      <c r="H86" s="221">
        <f>G86*F86*C82</f>
        <v>48.510000000000005</v>
      </c>
    </row>
    <row r="87" spans="1:8" ht="15.75" thickBot="1">
      <c r="A87" s="205"/>
      <c r="B87" s="205"/>
      <c r="C87" s="205"/>
      <c r="D87" s="190" t="s">
        <v>547</v>
      </c>
      <c r="E87" s="191">
        <v>48</v>
      </c>
      <c r="F87" s="191">
        <v>0.25</v>
      </c>
      <c r="G87" s="236">
        <v>420</v>
      </c>
      <c r="H87" s="222">
        <f>G87*F87*C82</f>
        <v>52.5</v>
      </c>
    </row>
    <row r="88" spans="1:8" ht="15">
      <c r="A88" s="206">
        <v>15</v>
      </c>
      <c r="B88" s="206" t="s">
        <v>471</v>
      </c>
      <c r="C88" s="206">
        <v>0.5</v>
      </c>
      <c r="D88" s="186" t="s">
        <v>636</v>
      </c>
      <c r="E88" s="187">
        <v>12</v>
      </c>
      <c r="F88" s="187">
        <v>1</v>
      </c>
      <c r="G88" s="527">
        <v>360</v>
      </c>
      <c r="H88" s="220">
        <f>G88*F88*C88</f>
        <v>180</v>
      </c>
    </row>
    <row r="89" spans="1:8" ht="15">
      <c r="A89" s="204"/>
      <c r="B89" s="204"/>
      <c r="C89" s="204"/>
      <c r="D89" s="189" t="s">
        <v>638</v>
      </c>
      <c r="E89" s="182">
        <v>12</v>
      </c>
      <c r="F89" s="182">
        <v>1</v>
      </c>
      <c r="G89" s="235">
        <v>390</v>
      </c>
      <c r="H89" s="221">
        <f>G89*F89*C88</f>
        <v>195</v>
      </c>
    </row>
    <row r="90" spans="1:8" ht="15.75" thickBot="1">
      <c r="A90" s="205"/>
      <c r="B90" s="205"/>
      <c r="C90" s="205"/>
      <c r="D90" s="190" t="s">
        <v>536</v>
      </c>
      <c r="E90" s="191">
        <v>2</v>
      </c>
      <c r="F90" s="191">
        <v>6</v>
      </c>
      <c r="G90" s="522">
        <v>12</v>
      </c>
      <c r="H90" s="222">
        <f>G90*F90*C88</f>
        <v>36</v>
      </c>
    </row>
    <row r="91" spans="1:8" ht="15">
      <c r="A91" s="206">
        <v>16</v>
      </c>
      <c r="B91" s="1694" t="s">
        <v>472</v>
      </c>
      <c r="C91" s="206">
        <v>2.5</v>
      </c>
      <c r="D91" s="186" t="s">
        <v>632</v>
      </c>
      <c r="E91" s="187">
        <v>12</v>
      </c>
      <c r="F91" s="187">
        <v>1</v>
      </c>
      <c r="G91" s="234">
        <v>165</v>
      </c>
      <c r="H91" s="220">
        <f>G91*F91*C91</f>
        <v>412.5</v>
      </c>
    </row>
    <row r="92" spans="1:8" ht="15">
      <c r="A92" s="204"/>
      <c r="B92" s="1695"/>
      <c r="C92" s="204"/>
      <c r="D92" s="189" t="s">
        <v>534</v>
      </c>
      <c r="E92" s="182">
        <v>12</v>
      </c>
      <c r="F92" s="182">
        <v>1</v>
      </c>
      <c r="G92" s="235">
        <v>150</v>
      </c>
      <c r="H92" s="221">
        <f>G92*F92*C91</f>
        <v>375</v>
      </c>
    </row>
    <row r="93" spans="1:8" ht="15">
      <c r="A93" s="204"/>
      <c r="B93" s="1695"/>
      <c r="C93" s="204"/>
      <c r="D93" s="189" t="s">
        <v>473</v>
      </c>
      <c r="E93" s="182">
        <v>12</v>
      </c>
      <c r="F93" s="182">
        <v>1</v>
      </c>
      <c r="G93" s="235">
        <v>11.22</v>
      </c>
      <c r="H93" s="221">
        <f>G93*F93*C91</f>
        <v>28.05</v>
      </c>
    </row>
    <row r="94" spans="1:8" ht="15.75" thickBot="1">
      <c r="A94" s="205"/>
      <c r="B94" s="1696"/>
      <c r="C94" s="205"/>
      <c r="D94" s="196" t="s">
        <v>474</v>
      </c>
      <c r="E94" s="184">
        <v>3</v>
      </c>
      <c r="F94" s="184">
        <v>4</v>
      </c>
      <c r="G94" s="237">
        <v>29.3</v>
      </c>
      <c r="H94" s="223">
        <f>G94*F94*C91</f>
        <v>293</v>
      </c>
    </row>
    <row r="95" spans="1:8" ht="15">
      <c r="A95" s="206">
        <v>17</v>
      </c>
      <c r="B95" s="1694" t="s">
        <v>475</v>
      </c>
      <c r="C95" s="217">
        <v>5</v>
      </c>
      <c r="D95" s="186" t="s">
        <v>636</v>
      </c>
      <c r="E95" s="187">
        <v>6</v>
      </c>
      <c r="F95" s="187">
        <v>2</v>
      </c>
      <c r="G95" s="527">
        <v>360</v>
      </c>
      <c r="H95" s="220">
        <f>G95*F95*C95</f>
        <v>3600</v>
      </c>
    </row>
    <row r="96" spans="1:8" ht="15">
      <c r="A96" s="154"/>
      <c r="B96" s="1695"/>
      <c r="C96" s="210"/>
      <c r="D96" s="189" t="s">
        <v>536</v>
      </c>
      <c r="E96" s="182">
        <v>1</v>
      </c>
      <c r="F96" s="182">
        <v>12</v>
      </c>
      <c r="G96" s="522">
        <v>12</v>
      </c>
      <c r="H96" s="221">
        <f>G96*F96*C95</f>
        <v>720</v>
      </c>
    </row>
    <row r="97" spans="1:8" ht="15">
      <c r="A97" s="154"/>
      <c r="B97" s="1695"/>
      <c r="C97" s="210"/>
      <c r="D97" s="189" t="s">
        <v>638</v>
      </c>
      <c r="E97" s="182">
        <v>6</v>
      </c>
      <c r="F97" s="182">
        <v>2</v>
      </c>
      <c r="G97" s="235">
        <v>390</v>
      </c>
      <c r="H97" s="221">
        <f>G97*F97*C95</f>
        <v>3900</v>
      </c>
    </row>
    <row r="98" spans="1:8" ht="15">
      <c r="A98" s="154"/>
      <c r="B98" s="204"/>
      <c r="C98" s="210"/>
      <c r="D98" s="189" t="s">
        <v>552</v>
      </c>
      <c r="E98" s="107" t="s">
        <v>530</v>
      </c>
      <c r="F98" s="182">
        <v>1</v>
      </c>
      <c r="G98" s="235">
        <v>51</v>
      </c>
      <c r="H98" s="174">
        <f>G98*F98</f>
        <v>51</v>
      </c>
    </row>
    <row r="99" spans="1:8" ht="15.75" thickBot="1">
      <c r="A99" s="155"/>
      <c r="B99" s="205"/>
      <c r="C99" s="211"/>
      <c r="D99" s="190" t="s">
        <v>540</v>
      </c>
      <c r="E99" s="212" t="s">
        <v>642</v>
      </c>
      <c r="F99" s="191">
        <v>1</v>
      </c>
      <c r="G99" s="236">
        <v>450</v>
      </c>
      <c r="H99" s="174">
        <f>G99*F99</f>
        <v>450</v>
      </c>
    </row>
    <row r="100" spans="1:8" ht="15">
      <c r="A100" s="206">
        <v>18</v>
      </c>
      <c r="B100" s="206" t="s">
        <v>476</v>
      </c>
      <c r="C100" s="206">
        <v>7</v>
      </c>
      <c r="D100" s="186" t="s">
        <v>636</v>
      </c>
      <c r="E100" s="187">
        <v>12</v>
      </c>
      <c r="F100" s="187">
        <v>1</v>
      </c>
      <c r="G100" s="527">
        <v>360</v>
      </c>
      <c r="H100" s="220">
        <f>G100*F100*C100</f>
        <v>2520</v>
      </c>
    </row>
    <row r="101" spans="1:8" ht="15">
      <c r="A101" s="154"/>
      <c r="B101" s="204"/>
      <c r="C101" s="204"/>
      <c r="D101" s="189" t="s">
        <v>634</v>
      </c>
      <c r="E101" s="182">
        <v>12</v>
      </c>
      <c r="F101" s="182">
        <v>1</v>
      </c>
      <c r="G101" s="521">
        <v>375</v>
      </c>
      <c r="H101" s="221">
        <f>G101*F101*C100</f>
        <v>2625</v>
      </c>
    </row>
    <row r="102" spans="1:8" ht="15">
      <c r="A102" s="154"/>
      <c r="B102" s="204"/>
      <c r="C102" s="204"/>
      <c r="D102" s="189" t="s">
        <v>477</v>
      </c>
      <c r="E102" s="107" t="s">
        <v>530</v>
      </c>
      <c r="F102" s="182">
        <v>1</v>
      </c>
      <c r="G102" s="235">
        <v>405</v>
      </c>
      <c r="H102" s="174">
        <f>G102*F102</f>
        <v>405</v>
      </c>
    </row>
    <row r="103" spans="1:8" ht="15">
      <c r="A103" s="204"/>
      <c r="B103" s="204"/>
      <c r="C103" s="204"/>
      <c r="D103" s="189" t="s">
        <v>529</v>
      </c>
      <c r="E103" s="107" t="s">
        <v>530</v>
      </c>
      <c r="F103" s="182">
        <v>1</v>
      </c>
      <c r="G103" s="235">
        <v>233</v>
      </c>
      <c r="H103" s="174">
        <f>G103*F103</f>
        <v>233</v>
      </c>
    </row>
    <row r="104" spans="1:8" ht="15">
      <c r="A104" s="204"/>
      <c r="B104" s="204"/>
      <c r="C104" s="204"/>
      <c r="D104" s="189" t="s">
        <v>536</v>
      </c>
      <c r="E104" s="107">
        <v>2</v>
      </c>
      <c r="F104" s="182">
        <v>6</v>
      </c>
      <c r="G104" s="522">
        <v>12</v>
      </c>
      <c r="H104" s="221">
        <f>F104*G104*C100</f>
        <v>504</v>
      </c>
    </row>
    <row r="105" spans="1:8" ht="15">
      <c r="A105" s="204"/>
      <c r="B105" s="204"/>
      <c r="C105" s="204"/>
      <c r="D105" s="189" t="s">
        <v>540</v>
      </c>
      <c r="E105" s="107">
        <v>36</v>
      </c>
      <c r="F105" s="182">
        <v>0.33</v>
      </c>
      <c r="G105" s="235">
        <v>450</v>
      </c>
      <c r="H105" s="221">
        <f>F105*G105*C100</f>
        <v>1039.5</v>
      </c>
    </row>
    <row r="106" spans="1:8" ht="15.75" thickBot="1">
      <c r="A106" s="205"/>
      <c r="B106" s="205"/>
      <c r="C106" s="205"/>
      <c r="D106" s="190" t="s">
        <v>542</v>
      </c>
      <c r="E106" s="212">
        <v>36</v>
      </c>
      <c r="F106" s="191">
        <v>0.33</v>
      </c>
      <c r="G106" s="236">
        <v>294</v>
      </c>
      <c r="H106" s="222">
        <f>G106*F106*C100</f>
        <v>679.1400000000001</v>
      </c>
    </row>
    <row r="107" spans="1:8" ht="15">
      <c r="A107" s="206">
        <v>19</v>
      </c>
      <c r="B107" s="1694" t="s">
        <v>478</v>
      </c>
      <c r="C107" s="218">
        <v>46</v>
      </c>
      <c r="D107" s="186" t="s">
        <v>533</v>
      </c>
      <c r="E107" s="213">
        <v>12</v>
      </c>
      <c r="F107" s="187">
        <v>1</v>
      </c>
      <c r="G107" s="527">
        <v>360</v>
      </c>
      <c r="H107" s="220">
        <f>F107*G107*C107</f>
        <v>16560</v>
      </c>
    </row>
    <row r="108" spans="1:8" ht="15">
      <c r="A108" s="154"/>
      <c r="B108" s="1695"/>
      <c r="C108" s="204"/>
      <c r="D108" s="189" t="s">
        <v>540</v>
      </c>
      <c r="E108" s="147">
        <v>36</v>
      </c>
      <c r="F108" s="182">
        <v>0.33</v>
      </c>
      <c r="G108" s="235">
        <v>450</v>
      </c>
      <c r="H108" s="221">
        <f>F108*G108*C107</f>
        <v>6831</v>
      </c>
    </row>
    <row r="109" spans="1:8" ht="15">
      <c r="A109" s="154"/>
      <c r="B109" s="154"/>
      <c r="C109" s="204"/>
      <c r="D109" s="189" t="s">
        <v>628</v>
      </c>
      <c r="E109" s="107" t="s">
        <v>531</v>
      </c>
      <c r="F109" s="182">
        <v>1</v>
      </c>
      <c r="G109" s="235">
        <v>180</v>
      </c>
      <c r="H109" s="174">
        <f>G109*F109</f>
        <v>180</v>
      </c>
    </row>
    <row r="110" spans="1:8" ht="15">
      <c r="A110" s="204"/>
      <c r="B110" s="204"/>
      <c r="C110" s="204"/>
      <c r="D110" s="189" t="s">
        <v>638</v>
      </c>
      <c r="E110" s="147">
        <v>12</v>
      </c>
      <c r="F110" s="182">
        <v>1</v>
      </c>
      <c r="G110" s="235">
        <v>390</v>
      </c>
      <c r="H110" s="221">
        <f>F110*G110*C107</f>
        <v>17940</v>
      </c>
    </row>
    <row r="111" spans="1:8" ht="15.75" thickBot="1">
      <c r="A111" s="205"/>
      <c r="B111" s="205"/>
      <c r="C111" s="205"/>
      <c r="D111" s="190" t="s">
        <v>479</v>
      </c>
      <c r="E111" s="212" t="s">
        <v>530</v>
      </c>
      <c r="F111" s="191">
        <v>1</v>
      </c>
      <c r="G111" s="236">
        <v>420</v>
      </c>
      <c r="H111" s="174">
        <f>G111*F111</f>
        <v>420</v>
      </c>
    </row>
    <row r="112" spans="1:8" ht="15">
      <c r="A112" s="206">
        <v>20</v>
      </c>
      <c r="B112" s="1694" t="s">
        <v>480</v>
      </c>
      <c r="C112" s="206">
        <v>2</v>
      </c>
      <c r="D112" s="186" t="s">
        <v>636</v>
      </c>
      <c r="E112" s="213">
        <v>12</v>
      </c>
      <c r="F112" s="187">
        <v>1</v>
      </c>
      <c r="G112" s="527">
        <v>360</v>
      </c>
      <c r="H112" s="220">
        <f>G112*F112*C112</f>
        <v>720</v>
      </c>
    </row>
    <row r="113" spans="1:8" ht="15">
      <c r="A113" s="204"/>
      <c r="B113" s="1695"/>
      <c r="C113" s="204"/>
      <c r="D113" s="189" t="s">
        <v>634</v>
      </c>
      <c r="E113" s="147">
        <v>12</v>
      </c>
      <c r="F113" s="182">
        <v>1</v>
      </c>
      <c r="G113" s="521">
        <v>375</v>
      </c>
      <c r="H113" s="221">
        <f>F113*G113*C112</f>
        <v>750</v>
      </c>
    </row>
    <row r="114" spans="1:8" ht="15">
      <c r="A114" s="204"/>
      <c r="B114" s="1695"/>
      <c r="C114" s="204"/>
      <c r="D114" s="189" t="s">
        <v>536</v>
      </c>
      <c r="E114" s="147">
        <v>1</v>
      </c>
      <c r="F114" s="182">
        <v>12</v>
      </c>
      <c r="G114" s="522">
        <v>12</v>
      </c>
      <c r="H114" s="221">
        <f>G114*F114*C112</f>
        <v>288</v>
      </c>
    </row>
    <row r="115" spans="1:8" ht="15">
      <c r="A115" s="204"/>
      <c r="B115" s="1695"/>
      <c r="C115" s="204"/>
      <c r="D115" s="189" t="s">
        <v>540</v>
      </c>
      <c r="E115" s="147">
        <v>36</v>
      </c>
      <c r="F115" s="182">
        <v>0.33</v>
      </c>
      <c r="G115" s="235">
        <v>450</v>
      </c>
      <c r="H115" s="221">
        <f>G115*F115*C112</f>
        <v>297</v>
      </c>
    </row>
    <row r="116" spans="1:8">
      <c r="A116" s="204"/>
      <c r="B116" s="1698"/>
      <c r="C116" s="204"/>
      <c r="D116" s="214"/>
      <c r="E116" s="101"/>
      <c r="F116" s="101"/>
      <c r="G116" s="235"/>
      <c r="H116" s="207"/>
    </row>
    <row r="117" spans="1:8" ht="13.5" thickBot="1">
      <c r="A117" s="205"/>
      <c r="B117" s="1696"/>
      <c r="C117" s="205"/>
      <c r="D117" s="215"/>
      <c r="E117" s="208"/>
      <c r="F117" s="208"/>
      <c r="G117" s="236"/>
      <c r="H117" s="209"/>
    </row>
    <row r="118" spans="1:8" ht="15">
      <c r="A118" s="206">
        <v>21</v>
      </c>
      <c r="B118" s="1694" t="s">
        <v>481</v>
      </c>
      <c r="C118" s="206">
        <v>5</v>
      </c>
      <c r="D118" s="186" t="s">
        <v>636</v>
      </c>
      <c r="E118" s="213">
        <v>12</v>
      </c>
      <c r="F118" s="187">
        <v>1</v>
      </c>
      <c r="G118" s="527">
        <v>360</v>
      </c>
      <c r="H118" s="220">
        <f>F118*G118*C118</f>
        <v>1800</v>
      </c>
    </row>
    <row r="119" spans="1:8" ht="15">
      <c r="A119" s="204"/>
      <c r="B119" s="1695"/>
      <c r="C119" s="204"/>
      <c r="D119" s="189" t="s">
        <v>546</v>
      </c>
      <c r="E119" s="147">
        <v>12</v>
      </c>
      <c r="F119" s="182">
        <v>1</v>
      </c>
      <c r="G119" s="235">
        <v>390</v>
      </c>
      <c r="H119" s="221">
        <f>F119*G119*C118</f>
        <v>1950</v>
      </c>
    </row>
    <row r="120" spans="1:8" ht="15">
      <c r="A120" s="204"/>
      <c r="B120" s="1695"/>
      <c r="C120" s="204"/>
      <c r="D120" s="189" t="s">
        <v>558</v>
      </c>
      <c r="E120" s="147">
        <v>1</v>
      </c>
      <c r="F120" s="182">
        <v>12</v>
      </c>
      <c r="G120" s="522">
        <v>12</v>
      </c>
      <c r="H120" s="221">
        <f>F120*G120*C118</f>
        <v>720</v>
      </c>
    </row>
    <row r="121" spans="1:8" ht="15">
      <c r="A121" s="204"/>
      <c r="B121" s="1695"/>
      <c r="C121" s="204"/>
      <c r="D121" s="189" t="s">
        <v>540</v>
      </c>
      <c r="E121" s="147">
        <v>36</v>
      </c>
      <c r="F121" s="182">
        <v>0.33</v>
      </c>
      <c r="G121" s="235">
        <v>450</v>
      </c>
      <c r="H121" s="221">
        <f>F121*G121*C118</f>
        <v>742.5</v>
      </c>
    </row>
    <row r="122" spans="1:8" ht="15">
      <c r="A122" s="204"/>
      <c r="B122" s="1695"/>
      <c r="C122" s="204"/>
      <c r="D122" s="189" t="s">
        <v>542</v>
      </c>
      <c r="E122" s="147">
        <v>36</v>
      </c>
      <c r="F122" s="182">
        <v>0.33</v>
      </c>
      <c r="G122" s="235">
        <v>294</v>
      </c>
      <c r="H122" s="221">
        <f>F122*G122*C118</f>
        <v>485.1</v>
      </c>
    </row>
    <row r="123" spans="1:8" ht="15.75" thickBot="1">
      <c r="A123" s="205"/>
      <c r="B123" s="1697"/>
      <c r="C123" s="205"/>
      <c r="D123" s="196" t="s">
        <v>547</v>
      </c>
      <c r="E123" s="227">
        <v>48</v>
      </c>
      <c r="F123" s="184">
        <v>0.25</v>
      </c>
      <c r="G123" s="237">
        <v>420</v>
      </c>
      <c r="H123" s="223">
        <f>F123*G123*C118</f>
        <v>525</v>
      </c>
    </row>
    <row r="124" spans="1:8" ht="15">
      <c r="A124" s="206">
        <v>22</v>
      </c>
      <c r="B124" s="1694" t="s">
        <v>482</v>
      </c>
      <c r="C124" s="217">
        <v>1</v>
      </c>
      <c r="D124" s="186" t="s">
        <v>636</v>
      </c>
      <c r="E124" s="213">
        <v>12</v>
      </c>
      <c r="F124" s="187">
        <v>1</v>
      </c>
      <c r="G124" s="527">
        <v>360</v>
      </c>
      <c r="H124" s="172">
        <f t="shared" ref="H124:H130" si="1">F124*G124</f>
        <v>360</v>
      </c>
    </row>
    <row r="125" spans="1:8" ht="15">
      <c r="A125" s="154"/>
      <c r="B125" s="1695"/>
      <c r="C125" s="210"/>
      <c r="D125" s="189" t="s">
        <v>483</v>
      </c>
      <c r="E125" s="147">
        <v>12</v>
      </c>
      <c r="F125" s="182">
        <v>1</v>
      </c>
      <c r="G125" s="521">
        <v>375</v>
      </c>
      <c r="H125" s="174">
        <f t="shared" si="1"/>
        <v>375</v>
      </c>
    </row>
    <row r="126" spans="1:8" ht="15">
      <c r="A126" s="154"/>
      <c r="B126" s="1695"/>
      <c r="C126" s="210"/>
      <c r="D126" s="189" t="s">
        <v>563</v>
      </c>
      <c r="E126" s="147">
        <v>24</v>
      </c>
      <c r="F126" s="182">
        <v>0.5</v>
      </c>
      <c r="G126" s="235">
        <v>72</v>
      </c>
      <c r="H126" s="174">
        <f t="shared" si="1"/>
        <v>36</v>
      </c>
    </row>
    <row r="127" spans="1:8" ht="15">
      <c r="A127" s="204"/>
      <c r="B127" s="204"/>
      <c r="C127" s="210"/>
      <c r="D127" s="189" t="s">
        <v>571</v>
      </c>
      <c r="E127" s="101" t="s">
        <v>527</v>
      </c>
      <c r="F127" s="182">
        <v>1</v>
      </c>
      <c r="G127" s="235">
        <v>51</v>
      </c>
      <c r="H127" s="174">
        <f t="shared" si="1"/>
        <v>51</v>
      </c>
    </row>
    <row r="128" spans="1:8" ht="15">
      <c r="A128" s="204"/>
      <c r="B128" s="204"/>
      <c r="C128" s="210"/>
      <c r="D128" s="189" t="s">
        <v>484</v>
      </c>
      <c r="E128" s="101" t="s">
        <v>527</v>
      </c>
      <c r="F128" s="182">
        <v>1</v>
      </c>
      <c r="G128" s="235">
        <v>155</v>
      </c>
      <c r="H128" s="174">
        <f t="shared" si="1"/>
        <v>155</v>
      </c>
    </row>
    <row r="129" spans="1:12" ht="15">
      <c r="A129" s="204"/>
      <c r="B129" s="204"/>
      <c r="C129" s="210"/>
      <c r="D129" s="189" t="s">
        <v>540</v>
      </c>
      <c r="E129" s="147">
        <v>36</v>
      </c>
      <c r="F129" s="182">
        <v>0.33</v>
      </c>
      <c r="G129" s="235">
        <v>450</v>
      </c>
      <c r="H129" s="174">
        <f t="shared" si="1"/>
        <v>148.5</v>
      </c>
    </row>
    <row r="130" spans="1:12" ht="15.75" thickBot="1">
      <c r="A130" s="205"/>
      <c r="B130" s="205"/>
      <c r="C130" s="211"/>
      <c r="D130" s="190" t="s">
        <v>547</v>
      </c>
      <c r="E130" s="216">
        <v>48</v>
      </c>
      <c r="F130" s="191">
        <v>0.25</v>
      </c>
      <c r="G130" s="236">
        <v>420</v>
      </c>
      <c r="H130" s="177">
        <f t="shared" si="1"/>
        <v>105</v>
      </c>
    </row>
    <row r="131" spans="1:12">
      <c r="J131" t="s">
        <v>416</v>
      </c>
      <c r="K131" t="s">
        <v>415</v>
      </c>
    </row>
    <row r="132" spans="1:12">
      <c r="H132" s="238">
        <f>SUM(H5:H130)</f>
        <v>174160.38</v>
      </c>
      <c r="J132" s="4">
        <f>H132-H12-H13-H14-H15</f>
        <v>173506.86000000002</v>
      </c>
      <c r="K132" s="4">
        <f>H12+H13+H14+H15</f>
        <v>653.52</v>
      </c>
    </row>
    <row r="134" spans="1:12">
      <c r="J134" t="s">
        <v>409</v>
      </c>
      <c r="K134">
        <f>F57*G57*5+F58*G58*5+F59*G59*5+G68+G69+F70*G70+G71+G72+F73*G73+F95*G95+F96*G96+F97*G97+G98+G99+G91+G92+G93+G94*F94+G27+G28+G29*F29+G30+G31+G32+G33*F33+F34*G34+G35*F35</f>
        <v>10360.540000000001</v>
      </c>
      <c r="L134">
        <f>K132*7%</f>
        <v>45.746400000000001</v>
      </c>
    </row>
    <row r="135" spans="1:12">
      <c r="A135" s="1429"/>
      <c r="B135" s="1429"/>
      <c r="C135" s="1429"/>
      <c r="D135" s="1429"/>
      <c r="E135" s="1429"/>
      <c r="F135" s="1429"/>
      <c r="G135" s="1429"/>
      <c r="H135" s="1429"/>
      <c r="J135" t="s">
        <v>717</v>
      </c>
      <c r="K135" s="4">
        <f>J132-K134</f>
        <v>163146.32</v>
      </c>
      <c r="L135" s="4">
        <f>K132-L134</f>
        <v>607.77359999999999</v>
      </c>
    </row>
  </sheetData>
  <mergeCells count="23">
    <mergeCell ref="A1:H1"/>
    <mergeCell ref="B27:B35"/>
    <mergeCell ref="C5:C11"/>
    <mergeCell ref="B5:B6"/>
    <mergeCell ref="B12:B15"/>
    <mergeCell ref="B16:B20"/>
    <mergeCell ref="B21:B26"/>
    <mergeCell ref="B57:B59"/>
    <mergeCell ref="B53:B56"/>
    <mergeCell ref="B36:B44"/>
    <mergeCell ref="B68:B73"/>
    <mergeCell ref="B45:B52"/>
    <mergeCell ref="B60:B62"/>
    <mergeCell ref="B66:B67"/>
    <mergeCell ref="A135:H135"/>
    <mergeCell ref="B91:B94"/>
    <mergeCell ref="B82:B83"/>
    <mergeCell ref="B78:B81"/>
    <mergeCell ref="B124:B126"/>
    <mergeCell ref="B107:B108"/>
    <mergeCell ref="B112:B117"/>
    <mergeCell ref="B118:B123"/>
    <mergeCell ref="B95:B97"/>
  </mergeCells>
  <phoneticPr fontId="51" type="noConversion"/>
  <pageMargins left="1.1811023622047245" right="0.39370078740157483" top="0.39370078740157483" bottom="0.39370078740157483" header="0.51181102362204722" footer="0.51181102362204722"/>
  <pageSetup paperSize="9" scale="75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29"/>
  <dimension ref="B1:U1013"/>
  <sheetViews>
    <sheetView zoomScaleSheetLayoutView="90" workbookViewId="0">
      <selection activeCell="B48" sqref="B48:H49"/>
    </sheetView>
  </sheetViews>
  <sheetFormatPr defaultRowHeight="12.75"/>
  <cols>
    <col min="1" max="1" width="1.85546875" style="5" customWidth="1"/>
    <col min="2" max="2" width="52.28515625" style="5" customWidth="1"/>
    <col min="3" max="3" width="11.42578125" style="5" customWidth="1"/>
    <col min="4" max="4" width="13.140625" style="5" customWidth="1"/>
    <col min="5" max="5" width="11.85546875" style="5" customWidth="1"/>
    <col min="6" max="6" width="12.140625" style="5" customWidth="1"/>
    <col min="7" max="7" width="13.28515625" style="5" customWidth="1"/>
    <col min="8" max="8" width="24.28515625" style="5" customWidth="1"/>
    <col min="9" max="9" width="15.85546875" style="49" customWidth="1"/>
    <col min="10" max="10" width="24.85546875" style="5" customWidth="1"/>
    <col min="11" max="11" width="16.85546875" style="5" customWidth="1"/>
    <col min="12" max="15" width="9.7109375" style="5" customWidth="1"/>
    <col min="16" max="16" width="8.7109375" style="5" customWidth="1"/>
    <col min="17" max="16384" width="9.140625" style="5"/>
  </cols>
  <sheetData>
    <row r="1" spans="2:17">
      <c r="H1" s="687" t="s">
        <v>795</v>
      </c>
    </row>
    <row r="2" spans="2:17" ht="57.75" customHeight="1">
      <c r="B2" s="1720" t="s">
        <v>11</v>
      </c>
      <c r="C2" s="1720"/>
      <c r="D2" s="1720"/>
      <c r="E2" s="1720"/>
      <c r="F2" s="1720"/>
      <c r="G2" s="1720"/>
      <c r="H2" s="1720"/>
      <c r="I2" s="48"/>
      <c r="J2" s="17"/>
    </row>
    <row r="3" spans="2:17" ht="20.25" customHeight="1">
      <c r="B3" s="1725"/>
      <c r="C3" s="1725"/>
      <c r="D3" s="1725"/>
      <c r="E3" s="1725"/>
      <c r="F3" s="1725"/>
      <c r="G3" s="1725"/>
      <c r="H3" s="1725"/>
      <c r="I3" s="48"/>
      <c r="J3" s="17"/>
    </row>
    <row r="4" spans="2:17" ht="29.25" customHeight="1">
      <c r="B4" s="369" t="s">
        <v>643</v>
      </c>
      <c r="C4" s="370">
        <f>SUM(D4:G4)</f>
        <v>1</v>
      </c>
      <c r="D4" s="370">
        <f>Прямі!$C$72</f>
        <v>1</v>
      </c>
      <c r="E4" s="371"/>
      <c r="F4" s="371"/>
      <c r="G4" s="371"/>
      <c r="H4" s="401"/>
      <c r="I4" s="48"/>
      <c r="J4" s="17"/>
    </row>
    <row r="5" spans="2:17" ht="29.25" customHeight="1">
      <c r="B5" s="369" t="s">
        <v>372</v>
      </c>
      <c r="C5" s="370">
        <f>SUM(E5:G5)</f>
        <v>1</v>
      </c>
      <c r="D5" s="370"/>
      <c r="E5" s="715">
        <f>Прямі!$D$72</f>
        <v>0.85609607848743829</v>
      </c>
      <c r="F5" s="715">
        <f>Прямі!$E$72</f>
        <v>0.12037307533290731</v>
      </c>
      <c r="G5" s="715">
        <f>Прямі!$F$72</f>
        <v>2.3530846179654386E-2</v>
      </c>
      <c r="H5" s="371"/>
      <c r="I5" s="48"/>
      <c r="J5" s="17"/>
    </row>
    <row r="6" spans="2:17" ht="28.5" customHeight="1">
      <c r="B6" s="369" t="s">
        <v>675</v>
      </c>
      <c r="C6" s="370" t="e">
        <f>SUM(E6:G6)</f>
        <v>#REF!</v>
      </c>
      <c r="D6" s="370"/>
      <c r="E6" s="716" t="e">
        <f>'Повна собів'!#REF!</f>
        <v>#REF!</v>
      </c>
      <c r="F6" s="716" t="e">
        <f>'Повна собів'!#REF!</f>
        <v>#REF!</v>
      </c>
      <c r="G6" s="716" t="e">
        <f>'Повна собів'!#REF!</f>
        <v>#REF!</v>
      </c>
      <c r="H6" s="370" t="s">
        <v>397</v>
      </c>
      <c r="I6" s="48"/>
      <c r="J6" s="17"/>
    </row>
    <row r="7" spans="2:17" ht="42" customHeight="1" thickBot="1">
      <c r="B7" s="1724" t="s">
        <v>701</v>
      </c>
      <c r="C7" s="518" t="s">
        <v>778</v>
      </c>
      <c r="D7" s="1727" t="s">
        <v>379</v>
      </c>
      <c r="E7" s="1728" t="s">
        <v>505</v>
      </c>
      <c r="F7" s="1729"/>
      <c r="G7" s="1730"/>
      <c r="H7" s="1727" t="s">
        <v>803</v>
      </c>
      <c r="J7" s="28"/>
    </row>
    <row r="8" spans="2:17" ht="27.75" customHeight="1" thickBot="1">
      <c r="B8" s="1724"/>
      <c r="C8" s="372" t="s">
        <v>694</v>
      </c>
      <c r="D8" s="1727"/>
      <c r="E8" s="402" t="s">
        <v>712</v>
      </c>
      <c r="F8" s="402" t="s">
        <v>620</v>
      </c>
      <c r="G8" s="402" t="s">
        <v>713</v>
      </c>
      <c r="H8" s="1727"/>
      <c r="J8" s="18"/>
    </row>
    <row r="9" spans="2:17" ht="29.25" customHeight="1">
      <c r="B9" s="373" t="s">
        <v>748</v>
      </c>
      <c r="C9" s="682">
        <f>C10+C15</f>
        <v>190.89437999999998</v>
      </c>
      <c r="D9" s="682">
        <f>D10+D15</f>
        <v>190.89437999999998</v>
      </c>
      <c r="E9" s="682" t="e">
        <f>E10+E15</f>
        <v>#REF!</v>
      </c>
      <c r="F9" s="682" t="e">
        <f>F10+F15</f>
        <v>#REF!</v>
      </c>
      <c r="G9" s="682" t="e">
        <f>G10+G15</f>
        <v>#REF!</v>
      </c>
      <c r="H9" s="399"/>
      <c r="I9" s="320" t="e">
        <f>C9-D9-#REF!</f>
        <v>#REF!</v>
      </c>
      <c r="J9" s="321" t="e">
        <f>E9+F9+G9-D9</f>
        <v>#REF!</v>
      </c>
      <c r="K9" s="315"/>
      <c r="L9" s="315"/>
      <c r="M9" s="315"/>
      <c r="N9" s="315"/>
      <c r="O9" s="315"/>
    </row>
    <row r="10" spans="2:17" s="1" customFormat="1" ht="39.75" customHeight="1">
      <c r="B10" s="403" t="s">
        <v>373</v>
      </c>
      <c r="C10" s="683">
        <f>SUM(C11:C14)</f>
        <v>189.64270999999999</v>
      </c>
      <c r="D10" s="683">
        <f>SUM(D11:D14)</f>
        <v>189.64270999999999</v>
      </c>
      <c r="E10" s="683">
        <f>SUM(E11:E14)</f>
        <v>162.35238034473053</v>
      </c>
      <c r="F10" s="683">
        <f>SUM(F11:F14)</f>
        <v>22.827876217166697</v>
      </c>
      <c r="G10" s="683">
        <f>SUM(G11:G14)</f>
        <v>4.4624534381028056</v>
      </c>
      <c r="H10" s="684"/>
      <c r="I10" s="320" t="e">
        <f>C10-D10-#REF!</f>
        <v>#REF!</v>
      </c>
      <c r="J10" s="321">
        <f t="shared" ref="J10:J19" si="0">E10+F10+G10-D10</f>
        <v>0</v>
      </c>
      <c r="K10" s="322"/>
      <c r="L10" s="314"/>
      <c r="M10" s="314"/>
      <c r="N10" s="314"/>
      <c r="O10" s="314"/>
    </row>
    <row r="11" spans="2:17" ht="31.5" customHeight="1">
      <c r="B11" s="680" t="s">
        <v>497</v>
      </c>
      <c r="C11" s="404">
        <f>Спецодежда!J132/1000</f>
        <v>173.50686000000002</v>
      </c>
      <c r="D11" s="404">
        <f>C11*$D$4</f>
        <v>173.50686000000002</v>
      </c>
      <c r="E11" s="404">
        <f>$D11*E$5</f>
        <v>148.53854243666899</v>
      </c>
      <c r="F11" s="404">
        <f>$D11*F$5</f>
        <v>20.885554329556204</v>
      </c>
      <c r="G11" s="404">
        <f>$D11*G$5</f>
        <v>4.0827632337748287</v>
      </c>
      <c r="H11" s="685" t="s">
        <v>805</v>
      </c>
      <c r="I11" s="320" t="e">
        <f>C11-D11-#REF!</f>
        <v>#REF!</v>
      </c>
      <c r="J11" s="321">
        <f t="shared" si="0"/>
        <v>0</v>
      </c>
      <c r="K11" s="323"/>
      <c r="L11" s="324"/>
      <c r="M11" s="324"/>
      <c r="N11" s="324"/>
      <c r="O11" s="324"/>
      <c r="P11" s="34"/>
      <c r="Q11" s="34"/>
    </row>
    <row r="12" spans="2:17" ht="32.25" customHeight="1">
      <c r="B12" s="680" t="s">
        <v>423</v>
      </c>
      <c r="C12" s="404">
        <f>F44/1000</f>
        <v>9.2805</v>
      </c>
      <c r="D12" s="404">
        <f>C12*$D$4</f>
        <v>9.2805</v>
      </c>
      <c r="E12" s="404">
        <f t="shared" ref="E12:G14" si="1">$D12*E$5</f>
        <v>7.944999656402671</v>
      </c>
      <c r="F12" s="404">
        <f t="shared" si="1"/>
        <v>1.1171223256270464</v>
      </c>
      <c r="G12" s="404">
        <f t="shared" si="1"/>
        <v>0.21837801797028253</v>
      </c>
      <c r="H12" s="685" t="s">
        <v>805</v>
      </c>
      <c r="I12" s="320" t="e">
        <f>C12-D12-#REF!</f>
        <v>#REF!</v>
      </c>
      <c r="J12" s="321">
        <f t="shared" si="0"/>
        <v>0</v>
      </c>
      <c r="K12" s="323"/>
      <c r="L12" s="324"/>
      <c r="M12" s="324"/>
      <c r="N12" s="324"/>
      <c r="O12" s="324"/>
      <c r="P12" s="34"/>
      <c r="Q12" s="34"/>
    </row>
    <row r="13" spans="2:17" s="86" customFormat="1" ht="38.25" customHeight="1">
      <c r="B13" s="680" t="s">
        <v>815</v>
      </c>
      <c r="C13" s="404">
        <f>246.15*9/1000</f>
        <v>2.2153499999999999</v>
      </c>
      <c r="D13" s="404">
        <f>C13*$D$4</f>
        <v>2.2153499999999999</v>
      </c>
      <c r="E13" s="404">
        <f t="shared" si="1"/>
        <v>1.8965524474771465</v>
      </c>
      <c r="F13" s="404">
        <f t="shared" si="1"/>
        <v>0.26666849243875618</v>
      </c>
      <c r="G13" s="404">
        <f t="shared" si="1"/>
        <v>5.2129060084097345E-2</v>
      </c>
      <c r="H13" s="685" t="s">
        <v>805</v>
      </c>
      <c r="I13" s="320" t="e">
        <f>C13-D13-#REF!</f>
        <v>#REF!</v>
      </c>
      <c r="J13" s="321">
        <f t="shared" si="0"/>
        <v>0</v>
      </c>
      <c r="K13" s="325"/>
      <c r="L13" s="326"/>
      <c r="M13" s="326"/>
      <c r="N13" s="326"/>
      <c r="O13" s="326"/>
      <c r="P13" s="85"/>
      <c r="Q13" s="85"/>
    </row>
    <row r="14" spans="2:17" s="86" customFormat="1" ht="39.75" customHeight="1">
      <c r="B14" s="680" t="s">
        <v>806</v>
      </c>
      <c r="C14" s="404">
        <f>32*0.145</f>
        <v>4.6399999999999997</v>
      </c>
      <c r="D14" s="404">
        <f>C14*$D$4</f>
        <v>4.6399999999999997</v>
      </c>
      <c r="E14" s="404">
        <f t="shared" si="1"/>
        <v>3.9722858041817135</v>
      </c>
      <c r="F14" s="404">
        <f t="shared" si="1"/>
        <v>0.5585310695446899</v>
      </c>
      <c r="G14" s="404">
        <f t="shared" si="1"/>
        <v>0.10918312627359635</v>
      </c>
      <c r="H14" s="685" t="s">
        <v>805</v>
      </c>
      <c r="I14" s="320" t="e">
        <f>C14-D14-#REF!</f>
        <v>#REF!</v>
      </c>
      <c r="J14" s="321">
        <f t="shared" si="0"/>
        <v>0</v>
      </c>
      <c r="K14" s="325"/>
      <c r="L14" s="326"/>
      <c r="M14" s="326"/>
      <c r="N14" s="326"/>
      <c r="O14" s="326"/>
      <c r="P14" s="85"/>
      <c r="Q14" s="85"/>
    </row>
    <row r="15" spans="2:17" s="32" customFormat="1" ht="36" customHeight="1">
      <c r="B15" s="374" t="s">
        <v>804</v>
      </c>
      <c r="C15" s="405">
        <f>SUM(C16:C19)</f>
        <v>1.2516700000000001</v>
      </c>
      <c r="D15" s="405">
        <f>SUM(D16:D19)</f>
        <v>1.2516700000000001</v>
      </c>
      <c r="E15" s="405" t="e">
        <f>SUM(E16:E19)</f>
        <v>#REF!</v>
      </c>
      <c r="F15" s="405" t="e">
        <f>SUM(F16:F19)</f>
        <v>#REF!</v>
      </c>
      <c r="G15" s="405" t="e">
        <f>SUM(G16:G19)</f>
        <v>#REF!</v>
      </c>
      <c r="H15" s="686"/>
      <c r="I15" s="320" t="e">
        <f>C15-D15-#REF!</f>
        <v>#REF!</v>
      </c>
      <c r="J15" s="321" t="e">
        <f t="shared" si="0"/>
        <v>#REF!</v>
      </c>
      <c r="K15" s="323"/>
      <c r="L15" s="327"/>
      <c r="M15" s="323"/>
      <c r="N15" s="323"/>
      <c r="O15" s="323"/>
      <c r="P15" s="37"/>
      <c r="Q15" s="37"/>
    </row>
    <row r="16" spans="2:17" s="32" customFormat="1" ht="29.25" customHeight="1">
      <c r="B16" s="680" t="s">
        <v>497</v>
      </c>
      <c r="C16" s="406">
        <f>Спецодежда!K132/1000</f>
        <v>0.65351999999999999</v>
      </c>
      <c r="D16" s="404">
        <f>C16*$D$4</f>
        <v>0.65351999999999999</v>
      </c>
      <c r="E16" s="404" t="e">
        <f>$D16*E$6</f>
        <v>#REF!</v>
      </c>
      <c r="F16" s="404" t="e">
        <f>$D16*F$6</f>
        <v>#REF!</v>
      </c>
      <c r="G16" s="404" t="e">
        <f>$D16*G$6</f>
        <v>#REF!</v>
      </c>
      <c r="H16" s="685" t="s">
        <v>805</v>
      </c>
      <c r="I16" s="320" t="e">
        <f>C16-D16-#REF!</f>
        <v>#REF!</v>
      </c>
      <c r="J16" s="321" t="e">
        <f t="shared" si="0"/>
        <v>#REF!</v>
      </c>
      <c r="K16" s="323"/>
      <c r="L16" s="327"/>
      <c r="M16" s="323"/>
      <c r="N16" s="323"/>
      <c r="O16" s="323"/>
      <c r="P16" s="37"/>
      <c r="Q16" s="37"/>
    </row>
    <row r="17" spans="2:17" s="32" customFormat="1" ht="31.5" customHeight="1">
      <c r="B17" s="680" t="s">
        <v>718</v>
      </c>
      <c r="C17" s="406">
        <f>G44/1000</f>
        <v>0.20699999999999999</v>
      </c>
      <c r="D17" s="404">
        <f>C17*$D$4</f>
        <v>0.20699999999999999</v>
      </c>
      <c r="E17" s="404" t="e">
        <f t="shared" ref="E17:G19" si="2">$D17*E$6</f>
        <v>#REF!</v>
      </c>
      <c r="F17" s="404" t="e">
        <f t="shared" si="2"/>
        <v>#REF!</v>
      </c>
      <c r="G17" s="404" t="e">
        <f t="shared" si="2"/>
        <v>#REF!</v>
      </c>
      <c r="H17" s="685" t="s">
        <v>805</v>
      </c>
      <c r="I17" s="320" t="e">
        <f>C17-D17-#REF!</f>
        <v>#REF!</v>
      </c>
      <c r="J17" s="321" t="e">
        <f t="shared" si="0"/>
        <v>#REF!</v>
      </c>
      <c r="K17" s="323"/>
      <c r="L17" s="327"/>
      <c r="M17" s="323"/>
      <c r="N17" s="323"/>
      <c r="O17" s="323"/>
      <c r="P17" s="37"/>
      <c r="Q17" s="37"/>
    </row>
    <row r="18" spans="2:17" s="32" customFormat="1" ht="34.5" customHeight="1">
      <c r="B18" s="680" t="s">
        <v>815</v>
      </c>
      <c r="C18" s="404">
        <f>246.15/1000</f>
        <v>0.24615000000000001</v>
      </c>
      <c r="D18" s="404">
        <f>C18*$D$4</f>
        <v>0.24615000000000001</v>
      </c>
      <c r="E18" s="404" t="e">
        <f t="shared" si="2"/>
        <v>#REF!</v>
      </c>
      <c r="F18" s="404" t="e">
        <f t="shared" si="2"/>
        <v>#REF!</v>
      </c>
      <c r="G18" s="404" t="e">
        <f t="shared" si="2"/>
        <v>#REF!</v>
      </c>
      <c r="H18" s="685" t="s">
        <v>805</v>
      </c>
      <c r="I18" s="320" t="e">
        <f>C18-D18-#REF!</f>
        <v>#REF!</v>
      </c>
      <c r="J18" s="321" t="e">
        <f t="shared" si="0"/>
        <v>#REF!</v>
      </c>
      <c r="K18" s="1714" t="s">
        <v>486</v>
      </c>
      <c r="L18" s="1715"/>
      <c r="M18" s="323"/>
      <c r="N18" s="323"/>
      <c r="O18" s="323"/>
      <c r="P18" s="37"/>
      <c r="Q18" s="37"/>
    </row>
    <row r="19" spans="2:17" s="32" customFormat="1" ht="30" customHeight="1" thickBot="1">
      <c r="B19" s="681" t="s">
        <v>816</v>
      </c>
      <c r="C19" s="407">
        <v>0.14499999999999999</v>
      </c>
      <c r="D19" s="408">
        <f>C19*$D$4</f>
        <v>0.14499999999999999</v>
      </c>
      <c r="E19" s="408" t="e">
        <f t="shared" si="2"/>
        <v>#REF!</v>
      </c>
      <c r="F19" s="408" t="e">
        <f t="shared" si="2"/>
        <v>#REF!</v>
      </c>
      <c r="G19" s="408" t="e">
        <f t="shared" si="2"/>
        <v>#REF!</v>
      </c>
      <c r="H19" s="685" t="s">
        <v>805</v>
      </c>
      <c r="I19" s="320" t="e">
        <f>C19-D19-#REF!</f>
        <v>#REF!</v>
      </c>
      <c r="J19" s="321" t="e">
        <f t="shared" si="0"/>
        <v>#REF!</v>
      </c>
      <c r="K19" s="323"/>
      <c r="L19" s="327"/>
      <c r="M19" s="323"/>
      <c r="N19" s="323"/>
      <c r="O19" s="323"/>
      <c r="P19" s="37"/>
      <c r="Q19" s="37"/>
    </row>
    <row r="20" spans="2:17" s="32" customFormat="1" ht="11.25" customHeight="1">
      <c r="B20" s="409"/>
      <c r="C20" s="410"/>
      <c r="D20" s="410"/>
      <c r="E20" s="410"/>
      <c r="F20" s="410"/>
      <c r="G20" s="410"/>
      <c r="H20" s="411"/>
      <c r="I20" s="320"/>
      <c r="J20" s="323"/>
      <c r="K20" s="323"/>
      <c r="L20" s="327"/>
      <c r="M20" s="323"/>
      <c r="N20" s="323"/>
      <c r="O20" s="323"/>
      <c r="P20" s="37"/>
      <c r="Q20" s="37"/>
    </row>
    <row r="21" spans="2:17" s="243" customFormat="1" ht="15.75" hidden="1" thickBot="1">
      <c r="B21" s="412" t="s">
        <v>742</v>
      </c>
      <c r="C21" s="413"/>
      <c r="D21" s="413"/>
      <c r="E21" s="414"/>
      <c r="F21" s="414"/>
      <c r="G21" s="414"/>
      <c r="H21" s="414"/>
      <c r="I21" s="328"/>
      <c r="J21" s="329"/>
      <c r="K21" s="329"/>
      <c r="L21" s="329"/>
      <c r="M21" s="329"/>
      <c r="N21" s="330"/>
      <c r="O21" s="330"/>
      <c r="P21" s="242"/>
      <c r="Q21" s="242"/>
    </row>
    <row r="22" spans="2:17" s="243" customFormat="1" ht="29.25" hidden="1" customHeight="1" thickBot="1">
      <c r="B22" s="1721" t="s">
        <v>701</v>
      </c>
      <c r="C22" s="1718"/>
      <c r="D22" s="1719"/>
      <c r="E22" s="1716" t="s">
        <v>377</v>
      </c>
      <c r="F22" s="1726" t="s">
        <v>422</v>
      </c>
      <c r="G22" s="1719"/>
      <c r="H22" s="416"/>
      <c r="I22" s="328"/>
      <c r="J22" s="329"/>
      <c r="K22" s="329"/>
      <c r="L22" s="329"/>
      <c r="M22" s="329"/>
      <c r="N22" s="330"/>
      <c r="O22" s="330"/>
      <c r="P22" s="242"/>
      <c r="Q22" s="242"/>
    </row>
    <row r="23" spans="2:17" s="243" customFormat="1" ht="78" hidden="1" customHeight="1">
      <c r="B23" s="1722"/>
      <c r="C23" s="417" t="s">
        <v>754</v>
      </c>
      <c r="D23" s="415" t="s">
        <v>756</v>
      </c>
      <c r="E23" s="1717"/>
      <c r="F23" s="417" t="s">
        <v>754</v>
      </c>
      <c r="G23" s="415" t="s">
        <v>756</v>
      </c>
      <c r="H23" s="416"/>
      <c r="I23" s="328"/>
      <c r="J23" s="329"/>
      <c r="K23" s="329"/>
      <c r="L23" s="329"/>
      <c r="M23" s="329"/>
      <c r="N23" s="330"/>
      <c r="O23" s="330"/>
      <c r="P23" s="242"/>
      <c r="Q23" s="242"/>
    </row>
    <row r="24" spans="2:17" s="243" customFormat="1" ht="30" hidden="1">
      <c r="B24" s="418" t="s">
        <v>424</v>
      </c>
      <c r="C24" s="419"/>
      <c r="D24" s="419"/>
      <c r="E24" s="419"/>
      <c r="F24" s="420">
        <f>SUM(F25:F35)</f>
        <v>10.30575</v>
      </c>
      <c r="G24" s="420">
        <f>SUM(G25:G35)</f>
        <v>0</v>
      </c>
      <c r="H24" s="416"/>
      <c r="I24" s="331"/>
      <c r="J24" s="332"/>
      <c r="K24" s="329"/>
      <c r="L24" s="329"/>
      <c r="M24" s="329"/>
      <c r="N24" s="330"/>
      <c r="O24" s="330"/>
      <c r="P24" s="242"/>
      <c r="Q24" s="242"/>
    </row>
    <row r="25" spans="2:17" s="243" customFormat="1" ht="14.25" hidden="1">
      <c r="B25" s="421" t="s">
        <v>374</v>
      </c>
      <c r="C25" s="422">
        <v>32</v>
      </c>
      <c r="D25" s="422"/>
      <c r="E25" s="423">
        <f>198/1.2</f>
        <v>165</v>
      </c>
      <c r="F25" s="423">
        <f>C25*E25/1000</f>
        <v>5.28</v>
      </c>
      <c r="G25" s="423">
        <f t="shared" ref="G25:G37" si="3">D25*E25/1000</f>
        <v>0</v>
      </c>
      <c r="H25" s="416"/>
      <c r="I25" s="331"/>
      <c r="J25" s="332" t="s">
        <v>555</v>
      </c>
      <c r="K25" s="329">
        <v>32</v>
      </c>
      <c r="L25" s="329"/>
      <c r="M25" s="329"/>
      <c r="N25" s="330"/>
      <c r="O25" s="330"/>
      <c r="P25" s="242"/>
      <c r="Q25" s="242"/>
    </row>
    <row r="26" spans="2:17" s="243" customFormat="1" ht="14.25" hidden="1">
      <c r="B26" s="421" t="s">
        <v>378</v>
      </c>
      <c r="C26" s="422">
        <v>3.5</v>
      </c>
      <c r="D26" s="422"/>
      <c r="E26" s="423">
        <f>222/1.2</f>
        <v>185</v>
      </c>
      <c r="F26" s="423">
        <f t="shared" ref="F26:F37" si="4">C26*E26/1000</f>
        <v>0.64749999999999996</v>
      </c>
      <c r="G26" s="423">
        <f t="shared" si="3"/>
        <v>0</v>
      </c>
      <c r="H26" s="416"/>
      <c r="I26" s="331"/>
      <c r="J26" s="332" t="s">
        <v>556</v>
      </c>
      <c r="K26" s="329">
        <v>7.3</v>
      </c>
      <c r="L26" s="329"/>
      <c r="M26" s="329"/>
      <c r="N26" s="330"/>
      <c r="O26" s="330"/>
      <c r="P26" s="242"/>
      <c r="Q26" s="242"/>
    </row>
    <row r="27" spans="2:17" s="243" customFormat="1" ht="14.25" hidden="1">
      <c r="B27" s="421" t="s">
        <v>567</v>
      </c>
      <c r="C27" s="424">
        <v>0.3</v>
      </c>
      <c r="D27" s="422"/>
      <c r="E27" s="423">
        <f>237/1.2</f>
        <v>197.5</v>
      </c>
      <c r="F27" s="423">
        <f t="shared" si="4"/>
        <v>5.9249999999999997E-2</v>
      </c>
      <c r="G27" s="423">
        <f t="shared" si="3"/>
        <v>0</v>
      </c>
      <c r="H27" s="416"/>
      <c r="I27" s="331"/>
      <c r="J27" s="332" t="s">
        <v>560</v>
      </c>
      <c r="K27" s="329">
        <v>3.4999999999999991</v>
      </c>
      <c r="L27" s="329"/>
      <c r="M27" s="329"/>
      <c r="N27" s="330"/>
      <c r="O27" s="330"/>
      <c r="P27" s="242"/>
      <c r="Q27" s="242"/>
    </row>
    <row r="28" spans="2:17" s="243" customFormat="1" ht="14.25" hidden="1">
      <c r="B28" s="421" t="s">
        <v>566</v>
      </c>
      <c r="C28" s="422">
        <v>53</v>
      </c>
      <c r="D28" s="422"/>
      <c r="E28" s="423">
        <f>15/1.2</f>
        <v>12.5</v>
      </c>
      <c r="F28" s="423">
        <f t="shared" si="4"/>
        <v>0.66249999999999998</v>
      </c>
      <c r="G28" s="423">
        <f t="shared" si="3"/>
        <v>0</v>
      </c>
      <c r="H28" s="416"/>
      <c r="I28" s="331"/>
      <c r="J28" s="332" t="s">
        <v>563</v>
      </c>
      <c r="K28" s="329">
        <v>2</v>
      </c>
      <c r="L28" s="329"/>
      <c r="M28" s="329"/>
      <c r="N28" s="330"/>
      <c r="O28" s="330"/>
      <c r="P28" s="242"/>
      <c r="Q28" s="242"/>
    </row>
    <row r="29" spans="2:17" s="243" customFormat="1" ht="14.25" hidden="1">
      <c r="B29" s="421" t="s">
        <v>561</v>
      </c>
      <c r="C29" s="422">
        <v>40</v>
      </c>
      <c r="D29" s="424"/>
      <c r="E29" s="423">
        <f>2.82/1.2</f>
        <v>2.35</v>
      </c>
      <c r="F29" s="423">
        <f t="shared" si="4"/>
        <v>9.4E-2</v>
      </c>
      <c r="G29" s="423">
        <f t="shared" si="3"/>
        <v>0</v>
      </c>
      <c r="H29" s="416"/>
      <c r="I29" s="331"/>
      <c r="J29" s="332" t="s">
        <v>558</v>
      </c>
      <c r="K29" s="329">
        <v>57</v>
      </c>
      <c r="L29" s="329"/>
      <c r="M29" s="329"/>
      <c r="N29" s="330"/>
      <c r="O29" s="330"/>
      <c r="P29" s="242"/>
      <c r="Q29" s="242"/>
    </row>
    <row r="30" spans="2:17" s="243" customFormat="1" ht="14.25" hidden="1">
      <c r="B30" s="421" t="s">
        <v>568</v>
      </c>
      <c r="C30" s="422">
        <v>10</v>
      </c>
      <c r="D30" s="422"/>
      <c r="E30" s="423">
        <f>324/1.2</f>
        <v>270</v>
      </c>
      <c r="F30" s="423">
        <f t="shared" si="4"/>
        <v>2.7</v>
      </c>
      <c r="G30" s="423">
        <f t="shared" si="3"/>
        <v>0</v>
      </c>
      <c r="H30" s="416"/>
      <c r="I30" s="331"/>
      <c r="J30" s="332" t="s">
        <v>561</v>
      </c>
      <c r="K30" s="329">
        <v>12</v>
      </c>
      <c r="L30" s="329"/>
      <c r="M30" s="329"/>
      <c r="N30" s="330"/>
      <c r="O30" s="330"/>
      <c r="P30" s="242"/>
      <c r="Q30" s="242"/>
    </row>
    <row r="31" spans="2:17" s="243" customFormat="1" ht="14.25" hidden="1">
      <c r="B31" s="421" t="s">
        <v>569</v>
      </c>
      <c r="C31" s="422">
        <v>3</v>
      </c>
      <c r="D31" s="422"/>
      <c r="E31" s="423">
        <f>102/1.2</f>
        <v>85</v>
      </c>
      <c r="F31" s="423">
        <f t="shared" si="4"/>
        <v>0.255</v>
      </c>
      <c r="G31" s="423">
        <f t="shared" si="3"/>
        <v>0</v>
      </c>
      <c r="H31" s="416"/>
      <c r="I31" s="331"/>
      <c r="J31" s="332"/>
      <c r="K31" s="329"/>
      <c r="L31" s="329"/>
      <c r="M31" s="329"/>
      <c r="N31" s="330"/>
      <c r="O31" s="330"/>
      <c r="P31" s="242"/>
      <c r="Q31" s="242"/>
    </row>
    <row r="32" spans="2:17" s="243" customFormat="1" ht="14.25" hidden="1">
      <c r="B32" s="421" t="s">
        <v>376</v>
      </c>
      <c r="C32" s="422">
        <v>1</v>
      </c>
      <c r="D32" s="424"/>
      <c r="E32" s="423">
        <f>54/1.2</f>
        <v>45</v>
      </c>
      <c r="F32" s="423">
        <f t="shared" si="4"/>
        <v>4.4999999999999998E-2</v>
      </c>
      <c r="G32" s="423">
        <f t="shared" si="3"/>
        <v>0</v>
      </c>
      <c r="H32" s="416"/>
      <c r="I32" s="331"/>
      <c r="J32" s="332" t="s">
        <v>559</v>
      </c>
      <c r="K32" s="329">
        <v>3</v>
      </c>
      <c r="L32" s="329"/>
      <c r="M32" s="329"/>
      <c r="N32" s="330"/>
      <c r="O32" s="330"/>
      <c r="P32" s="242"/>
      <c r="Q32" s="242"/>
    </row>
    <row r="33" spans="2:21" s="243" customFormat="1" ht="14.25" hidden="1">
      <c r="B33" s="421" t="s">
        <v>565</v>
      </c>
      <c r="C33" s="422">
        <v>3</v>
      </c>
      <c r="D33" s="424"/>
      <c r="E33" s="423">
        <f>45/1.2</f>
        <v>37.5</v>
      </c>
      <c r="F33" s="423">
        <f t="shared" si="4"/>
        <v>0.1125</v>
      </c>
      <c r="G33" s="423">
        <f t="shared" si="3"/>
        <v>0</v>
      </c>
      <c r="H33" s="416"/>
      <c r="I33" s="331"/>
      <c r="J33" s="332" t="s">
        <v>557</v>
      </c>
      <c r="K33" s="329">
        <v>9.5</v>
      </c>
      <c r="L33" s="329"/>
      <c r="M33" s="329"/>
      <c r="N33" s="330"/>
      <c r="O33" s="330"/>
      <c r="P33" s="242"/>
      <c r="Q33" s="242"/>
    </row>
    <row r="34" spans="2:21" s="243" customFormat="1" ht="14.25" hidden="1">
      <c r="B34" s="421" t="s">
        <v>563</v>
      </c>
      <c r="C34" s="422">
        <v>2</v>
      </c>
      <c r="D34" s="424"/>
      <c r="E34" s="423">
        <f>102/1.2</f>
        <v>85</v>
      </c>
      <c r="F34" s="423">
        <f t="shared" si="4"/>
        <v>0.17</v>
      </c>
      <c r="G34" s="423">
        <f t="shared" si="3"/>
        <v>0</v>
      </c>
      <c r="H34" s="416"/>
      <c r="I34" s="331"/>
      <c r="J34" s="332"/>
      <c r="K34" s="329"/>
      <c r="L34" s="329"/>
      <c r="M34" s="329"/>
      <c r="N34" s="330"/>
      <c r="O34" s="330"/>
      <c r="P34" s="242"/>
      <c r="Q34" s="242"/>
    </row>
    <row r="35" spans="2:21" s="243" customFormat="1" ht="14.25" hidden="1">
      <c r="B35" s="421" t="s">
        <v>375</v>
      </c>
      <c r="C35" s="422">
        <v>7</v>
      </c>
      <c r="D35" s="424"/>
      <c r="E35" s="423">
        <f>48/1.2</f>
        <v>40</v>
      </c>
      <c r="F35" s="423">
        <f t="shared" si="4"/>
        <v>0.28000000000000003</v>
      </c>
      <c r="G35" s="423">
        <f t="shared" si="3"/>
        <v>0</v>
      </c>
      <c r="H35" s="416"/>
      <c r="I35" s="331"/>
      <c r="J35" s="332" t="s">
        <v>562</v>
      </c>
      <c r="K35" s="329">
        <v>3.3</v>
      </c>
      <c r="L35" s="329"/>
      <c r="M35" s="329"/>
      <c r="N35" s="330"/>
      <c r="O35" s="330"/>
      <c r="P35" s="242"/>
      <c r="Q35" s="242"/>
    </row>
    <row r="36" spans="2:21" s="243" customFormat="1" ht="14.25" hidden="1">
      <c r="B36" s="421" t="s">
        <v>570</v>
      </c>
      <c r="C36" s="424">
        <v>1</v>
      </c>
      <c r="D36" s="424"/>
      <c r="E36" s="423">
        <f>174/1.2</f>
        <v>145</v>
      </c>
      <c r="F36" s="423">
        <f t="shared" si="4"/>
        <v>0.14499999999999999</v>
      </c>
      <c r="G36" s="423">
        <f t="shared" si="3"/>
        <v>0</v>
      </c>
      <c r="H36" s="416"/>
      <c r="I36" s="331"/>
      <c r="J36" s="332"/>
      <c r="K36" s="329"/>
      <c r="L36" s="329"/>
      <c r="M36" s="329"/>
      <c r="N36" s="330"/>
      <c r="O36" s="330"/>
      <c r="P36" s="242"/>
      <c r="Q36" s="242"/>
    </row>
    <row r="37" spans="2:21" s="243" customFormat="1" ht="15" hidden="1" thickBot="1">
      <c r="B37" s="425" t="s">
        <v>571</v>
      </c>
      <c r="C37" s="426">
        <f>1/3</f>
        <v>0.33333333333333331</v>
      </c>
      <c r="D37" s="426"/>
      <c r="E37" s="427">
        <f>45/1.2</f>
        <v>37.5</v>
      </c>
      <c r="F37" s="427">
        <f t="shared" si="4"/>
        <v>1.2500000000000001E-2</v>
      </c>
      <c r="G37" s="427">
        <f t="shared" si="3"/>
        <v>0</v>
      </c>
      <c r="H37" s="416"/>
      <c r="I37" s="331"/>
      <c r="J37" s="332"/>
      <c r="K37" s="329"/>
      <c r="L37" s="329"/>
      <c r="M37" s="329"/>
      <c r="N37" s="330"/>
      <c r="O37" s="330"/>
      <c r="P37" s="242"/>
      <c r="Q37" s="242"/>
    </row>
    <row r="38" spans="2:21" s="243" customFormat="1" ht="15" hidden="1">
      <c r="B38" s="428" t="s">
        <v>753</v>
      </c>
      <c r="C38" s="429"/>
      <c r="D38" s="429"/>
      <c r="E38" s="429"/>
      <c r="F38" s="429"/>
      <c r="G38" s="429"/>
      <c r="H38" s="429"/>
      <c r="I38" s="331"/>
      <c r="J38" s="333" t="s">
        <v>564</v>
      </c>
      <c r="K38" s="329">
        <v>0.3</v>
      </c>
      <c r="L38" s="334"/>
      <c r="M38" s="334"/>
      <c r="N38" s="335"/>
      <c r="O38" s="335"/>
      <c r="P38" s="244"/>
      <c r="Q38" s="244"/>
      <c r="R38" s="244"/>
      <c r="S38" s="244"/>
      <c r="T38" s="244"/>
      <c r="U38" s="244"/>
    </row>
    <row r="39" spans="2:21" s="679" customFormat="1" ht="45.75" customHeight="1">
      <c r="B39" s="673" t="s">
        <v>792</v>
      </c>
      <c r="C39" s="673"/>
      <c r="D39" s="673"/>
      <c r="E39" s="673"/>
      <c r="F39" s="673"/>
      <c r="G39" s="673" t="s">
        <v>793</v>
      </c>
      <c r="H39" s="673"/>
      <c r="I39" s="674"/>
      <c r="J39" s="675"/>
      <c r="K39" s="676"/>
      <c r="L39" s="677"/>
      <c r="M39" s="677"/>
      <c r="N39" s="677"/>
      <c r="O39" s="677"/>
      <c r="P39" s="678"/>
      <c r="Q39" s="678"/>
      <c r="R39" s="678"/>
      <c r="S39" s="678"/>
      <c r="T39" s="678"/>
      <c r="U39" s="678"/>
    </row>
    <row r="40" spans="2:21" s="32" customFormat="1" ht="9.75" customHeight="1">
      <c r="B40" s="430"/>
      <c r="C40" s="431"/>
      <c r="D40" s="431"/>
      <c r="E40" s="432"/>
      <c r="F40" s="432"/>
      <c r="G40" s="432"/>
      <c r="H40" s="432"/>
      <c r="I40" s="320"/>
      <c r="J40" s="323"/>
      <c r="K40" s="323"/>
      <c r="L40" s="336"/>
      <c r="M40" s="336"/>
      <c r="N40" s="337"/>
      <c r="O40" s="336"/>
      <c r="P40" s="62"/>
      <c r="Q40" s="62"/>
    </row>
    <row r="41" spans="2:21" s="8" customFormat="1" ht="16.5" thickBot="1">
      <c r="B41" s="433" t="s">
        <v>507</v>
      </c>
      <c r="C41" s="432"/>
      <c r="D41" s="432"/>
      <c r="E41" s="434"/>
      <c r="F41" s="434"/>
      <c r="G41" s="434" t="s">
        <v>593</v>
      </c>
      <c r="H41" s="434"/>
      <c r="I41" s="55"/>
      <c r="J41" s="38"/>
      <c r="K41" s="38"/>
      <c r="L41" s="61"/>
      <c r="M41" s="61"/>
      <c r="N41" s="63"/>
      <c r="O41" s="61"/>
      <c r="P41" s="62"/>
      <c r="Q41" s="62"/>
    </row>
    <row r="42" spans="2:21" s="32" customFormat="1" ht="72.75" customHeight="1" thickBot="1">
      <c r="B42" s="1723" t="s">
        <v>701</v>
      </c>
      <c r="C42" s="435"/>
      <c r="D42" s="436"/>
      <c r="E42" s="372" t="s">
        <v>377</v>
      </c>
      <c r="F42" s="437"/>
      <c r="G42" s="436"/>
      <c r="H42" s="438"/>
      <c r="I42" s="55"/>
      <c r="J42" s="37"/>
      <c r="K42" s="37"/>
      <c r="L42" s="61"/>
      <c r="M42" s="61"/>
      <c r="N42" s="63"/>
      <c r="O42" s="61"/>
      <c r="P42" s="62"/>
      <c r="Q42" s="62"/>
    </row>
    <row r="43" spans="2:21" s="32" customFormat="1" ht="79.5" customHeight="1">
      <c r="B43" s="1724"/>
      <c r="C43" s="397" t="s">
        <v>754</v>
      </c>
      <c r="D43" s="372" t="s">
        <v>756</v>
      </c>
      <c r="E43" s="397"/>
      <c r="F43" s="397" t="s">
        <v>754</v>
      </c>
      <c r="G43" s="372" t="s">
        <v>756</v>
      </c>
      <c r="H43" s="438"/>
      <c r="I43" s="55"/>
      <c r="J43" s="37"/>
      <c r="K43" s="37"/>
      <c r="L43" s="61"/>
      <c r="M43" s="61"/>
      <c r="N43" s="63"/>
      <c r="O43" s="61"/>
      <c r="P43" s="62"/>
      <c r="Q43" s="62"/>
    </row>
    <row r="44" spans="2:21" s="32" customFormat="1" ht="15.75">
      <c r="B44" s="439" t="s">
        <v>425</v>
      </c>
      <c r="C44" s="440"/>
      <c r="D44" s="440"/>
      <c r="E44" s="440"/>
      <c r="F44" s="441">
        <f>SUM(F45:F45)</f>
        <v>9280.5</v>
      </c>
      <c r="G44" s="441">
        <f>SUM(G45:G45)</f>
        <v>207</v>
      </c>
      <c r="H44" s="438"/>
      <c r="I44" s="55"/>
      <c r="J44" s="37"/>
      <c r="K44" s="37"/>
      <c r="L44" s="61"/>
      <c r="M44" s="61"/>
      <c r="N44" s="63"/>
      <c r="O44" s="61"/>
      <c r="P44" s="62"/>
      <c r="Q44" s="62"/>
    </row>
    <row r="45" spans="2:21" s="32" customFormat="1" ht="18.75" customHeight="1">
      <c r="B45" s="442" t="s">
        <v>755</v>
      </c>
      <c r="C45" s="443">
        <v>1614</v>
      </c>
      <c r="D45" s="443">
        <v>36</v>
      </c>
      <c r="E45" s="444">
        <v>5.75</v>
      </c>
      <c r="F45" s="444">
        <f>C45*E45</f>
        <v>9280.5</v>
      </c>
      <c r="G45" s="444">
        <f>D45*E45</f>
        <v>207</v>
      </c>
      <c r="H45" s="438"/>
      <c r="I45" s="55"/>
      <c r="J45" s="37"/>
      <c r="K45" s="37"/>
      <c r="L45" s="61"/>
      <c r="M45" s="61"/>
      <c r="N45" s="63"/>
      <c r="O45" s="61"/>
      <c r="P45" s="62"/>
      <c r="Q45" s="62"/>
    </row>
    <row r="46" spans="2:21" s="32" customFormat="1">
      <c r="B46" s="445"/>
      <c r="C46" s="446"/>
      <c r="D46" s="446"/>
      <c r="E46" s="447"/>
      <c r="F46" s="447"/>
      <c r="G46" s="447"/>
      <c r="H46" s="447"/>
      <c r="I46" s="50"/>
      <c r="J46" s="37"/>
      <c r="K46" s="37"/>
      <c r="L46" s="37"/>
      <c r="M46" s="37"/>
      <c r="N46" s="37"/>
      <c r="O46" s="37"/>
      <c r="P46" s="37"/>
      <c r="Q46" s="37"/>
    </row>
    <row r="47" spans="2:21" s="32" customFormat="1">
      <c r="B47" s="438"/>
      <c r="C47" s="438"/>
      <c r="D47" s="438"/>
      <c r="E47" s="438"/>
      <c r="F47" s="438"/>
      <c r="G47" s="438"/>
      <c r="H47" s="345"/>
      <c r="I47" s="50"/>
      <c r="J47" s="37"/>
      <c r="K47" s="37"/>
      <c r="L47" s="37"/>
      <c r="M47" s="37"/>
      <c r="N47" s="37"/>
      <c r="O47" s="37"/>
      <c r="P47" s="37"/>
      <c r="Q47" s="37"/>
    </row>
    <row r="48" spans="2:21" s="32" customFormat="1">
      <c r="B48" s="1550"/>
      <c r="C48" s="1550"/>
      <c r="D48" s="1550"/>
      <c r="E48" s="1550"/>
      <c r="F48" s="1550"/>
      <c r="G48" s="1550"/>
      <c r="H48" s="1550"/>
      <c r="I48" s="50"/>
      <c r="J48" s="37"/>
      <c r="K48" s="37"/>
      <c r="L48" s="37"/>
      <c r="M48" s="37"/>
      <c r="N48" s="37"/>
      <c r="O48" s="37"/>
      <c r="P48" s="37"/>
      <c r="Q48" s="37"/>
    </row>
    <row r="49" spans="2:17" s="32" customFormat="1">
      <c r="B49" s="338"/>
      <c r="C49" s="345"/>
      <c r="D49" s="345"/>
      <c r="E49" s="345"/>
      <c r="F49" s="345"/>
      <c r="G49" s="449"/>
      <c r="H49" s="449"/>
      <c r="I49" s="50"/>
      <c r="J49" s="37"/>
      <c r="K49" s="37"/>
      <c r="L49" s="37"/>
      <c r="M49" s="37"/>
      <c r="N49" s="37"/>
      <c r="O49" s="37"/>
      <c r="P49" s="37"/>
      <c r="Q49" s="37"/>
    </row>
    <row r="50" spans="2:17" s="32" customFormat="1" ht="15.75">
      <c r="B50" s="450"/>
      <c r="C50" s="450"/>
      <c r="D50" s="450"/>
      <c r="E50" s="393"/>
      <c r="F50" s="451"/>
      <c r="G50" s="449"/>
      <c r="H50" s="449"/>
      <c r="I50" s="50"/>
      <c r="J50" s="37"/>
      <c r="K50" s="37"/>
      <c r="L50" s="37"/>
      <c r="M50" s="37"/>
      <c r="N50" s="37"/>
      <c r="O50" s="37"/>
      <c r="P50" s="37"/>
      <c r="Q50" s="37"/>
    </row>
    <row r="51" spans="2:17" s="32" customFormat="1">
      <c r="B51" s="438"/>
      <c r="C51" s="438"/>
      <c r="D51" s="438"/>
      <c r="E51" s="438"/>
      <c r="F51" s="438"/>
      <c r="G51" s="438"/>
      <c r="H51" s="449"/>
      <c r="I51" s="50"/>
      <c r="J51" s="37"/>
      <c r="K51" s="37"/>
      <c r="L51" s="37"/>
      <c r="M51" s="37"/>
      <c r="N51" s="37"/>
      <c r="O51" s="37"/>
      <c r="P51" s="37"/>
      <c r="Q51" s="37"/>
    </row>
    <row r="52" spans="2:17" s="32" customFormat="1" ht="12.75" customHeight="1">
      <c r="B52" s="438"/>
      <c r="C52" s="450"/>
      <c r="D52" s="450"/>
      <c r="E52" s="450"/>
      <c r="F52" s="451"/>
      <c r="G52" s="450"/>
      <c r="H52" s="450"/>
      <c r="I52" s="62"/>
      <c r="J52" s="64"/>
    </row>
    <row r="53" spans="2:17" s="32" customFormat="1" ht="12.75" customHeight="1">
      <c r="B53" s="438"/>
      <c r="C53" s="450"/>
      <c r="D53" s="450"/>
      <c r="E53" s="450"/>
      <c r="F53" s="451"/>
      <c r="G53" s="450"/>
      <c r="H53" s="450"/>
      <c r="I53" s="62"/>
      <c r="J53" s="64"/>
    </row>
    <row r="54" spans="2:17" s="32" customFormat="1" ht="12.75" customHeight="1">
      <c r="B54" s="438"/>
      <c r="C54" s="450"/>
      <c r="D54" s="450"/>
      <c r="E54" s="450"/>
      <c r="F54" s="451"/>
      <c r="G54" s="450"/>
      <c r="H54" s="450"/>
      <c r="I54" s="62"/>
      <c r="J54" s="64"/>
    </row>
    <row r="55" spans="2:17" s="32" customFormat="1" ht="12.75" customHeight="1">
      <c r="B55" s="438"/>
      <c r="C55" s="450"/>
      <c r="D55" s="450"/>
      <c r="E55" s="450"/>
      <c r="F55" s="451"/>
      <c r="G55" s="450"/>
      <c r="H55" s="450"/>
      <c r="I55" s="62"/>
      <c r="J55" s="64"/>
    </row>
    <row r="56" spans="2:17" s="32" customFormat="1" ht="12.75" customHeight="1">
      <c r="B56" s="438"/>
      <c r="C56" s="450"/>
      <c r="D56" s="450"/>
      <c r="E56" s="450"/>
      <c r="F56" s="451"/>
      <c r="G56" s="450"/>
      <c r="H56" s="450"/>
      <c r="I56" s="62"/>
      <c r="J56" s="64"/>
    </row>
    <row r="57" spans="2:17" s="32" customFormat="1" ht="12.75" customHeight="1">
      <c r="B57" s="438"/>
      <c r="C57" s="450"/>
      <c r="D57" s="450"/>
      <c r="E57" s="450"/>
      <c r="F57" s="451"/>
      <c r="G57" s="450"/>
      <c r="H57" s="450"/>
      <c r="I57" s="62"/>
      <c r="J57" s="64"/>
    </row>
    <row r="58" spans="2:17" s="32" customFormat="1" ht="12.75" customHeight="1">
      <c r="B58" s="438"/>
      <c r="C58" s="450"/>
      <c r="D58" s="450"/>
      <c r="E58" s="450"/>
      <c r="F58" s="451"/>
      <c r="G58" s="450"/>
      <c r="H58" s="450"/>
      <c r="I58" s="62"/>
      <c r="J58" s="64"/>
    </row>
    <row r="59" spans="2:17" s="32" customFormat="1" ht="12.75" customHeight="1">
      <c r="B59" s="438"/>
      <c r="C59" s="450"/>
      <c r="D59" s="450"/>
      <c r="E59" s="450"/>
      <c r="F59" s="451"/>
      <c r="G59" s="450"/>
      <c r="H59" s="450"/>
      <c r="I59" s="62"/>
      <c r="J59" s="64"/>
    </row>
    <row r="60" spans="2:17" s="32" customFormat="1" ht="12.75" customHeight="1">
      <c r="B60" s="438"/>
      <c r="C60" s="450"/>
      <c r="D60" s="450"/>
      <c r="E60" s="450"/>
      <c r="F60" s="451"/>
      <c r="G60" s="450"/>
      <c r="H60" s="450"/>
      <c r="I60" s="62"/>
      <c r="J60" s="64"/>
    </row>
    <row r="61" spans="2:17" s="32" customFormat="1" ht="12.75" customHeight="1">
      <c r="B61" s="438"/>
      <c r="C61" s="450"/>
      <c r="D61" s="450"/>
      <c r="E61" s="450"/>
      <c r="F61" s="451"/>
      <c r="G61" s="450"/>
      <c r="H61" s="450"/>
      <c r="I61" s="62"/>
      <c r="J61" s="64"/>
    </row>
    <row r="62" spans="2:17" s="32" customFormat="1" ht="12.75" customHeight="1">
      <c r="B62" s="438"/>
      <c r="C62" s="450"/>
      <c r="D62" s="450"/>
      <c r="E62" s="450"/>
      <c r="F62" s="451"/>
      <c r="G62" s="450"/>
      <c r="H62" s="450"/>
      <c r="I62" s="62"/>
      <c r="J62" s="64"/>
    </row>
    <row r="63" spans="2:17" s="32" customFormat="1" ht="12.75" customHeight="1">
      <c r="B63" s="438"/>
      <c r="C63" s="450"/>
      <c r="D63" s="450"/>
      <c r="E63" s="450"/>
      <c r="F63" s="451"/>
      <c r="G63" s="450"/>
      <c r="H63" s="450"/>
      <c r="I63" s="62"/>
      <c r="J63" s="64"/>
    </row>
    <row r="64" spans="2:17" s="32" customFormat="1" ht="12.75" customHeight="1">
      <c r="B64" s="438"/>
      <c r="C64" s="450"/>
      <c r="D64" s="450"/>
      <c r="E64" s="450"/>
      <c r="F64" s="451"/>
      <c r="G64" s="450"/>
      <c r="H64" s="450"/>
      <c r="I64" s="62"/>
      <c r="J64" s="64"/>
    </row>
    <row r="65" spans="2:10" s="32" customFormat="1" ht="12.75" customHeight="1">
      <c r="B65" s="438"/>
      <c r="C65" s="450"/>
      <c r="D65" s="450"/>
      <c r="E65" s="450"/>
      <c r="F65" s="451"/>
      <c r="G65" s="450"/>
      <c r="H65" s="450"/>
      <c r="I65" s="62"/>
      <c r="J65" s="64"/>
    </row>
    <row r="66" spans="2:10" s="32" customFormat="1" ht="12.75" customHeight="1">
      <c r="B66" s="438"/>
      <c r="C66" s="450"/>
      <c r="D66" s="450"/>
      <c r="E66" s="450"/>
      <c r="F66" s="451"/>
      <c r="G66" s="450"/>
      <c r="H66" s="450"/>
      <c r="I66" s="62"/>
      <c r="J66" s="64"/>
    </row>
    <row r="67" spans="2:10" s="32" customFormat="1" ht="12.75" customHeight="1">
      <c r="B67" s="438"/>
      <c r="C67" s="450"/>
      <c r="D67" s="450"/>
      <c r="E67" s="450"/>
      <c r="F67" s="451"/>
      <c r="G67" s="450"/>
      <c r="H67" s="450"/>
      <c r="I67" s="62"/>
      <c r="J67" s="64"/>
    </row>
    <row r="68" spans="2:10" s="32" customFormat="1" ht="12.75" customHeight="1">
      <c r="B68" s="438"/>
      <c r="C68" s="450"/>
      <c r="D68" s="450"/>
      <c r="E68" s="450"/>
      <c r="F68" s="451"/>
      <c r="G68" s="450"/>
      <c r="H68" s="450"/>
      <c r="I68" s="62"/>
      <c r="J68" s="64"/>
    </row>
    <row r="69" spans="2:10" s="32" customFormat="1" ht="12.75" customHeight="1">
      <c r="B69" s="438"/>
      <c r="C69" s="450"/>
      <c r="D69" s="450"/>
      <c r="E69" s="450"/>
      <c r="F69" s="451"/>
      <c r="G69" s="438"/>
      <c r="H69" s="438"/>
    </row>
    <row r="70" spans="2:10" s="32" customFormat="1" ht="12.75" customHeight="1">
      <c r="B70" s="438"/>
      <c r="C70" s="438"/>
      <c r="D70" s="438"/>
      <c r="E70" s="438"/>
      <c r="F70" s="438"/>
      <c r="G70" s="438"/>
      <c r="H70" s="438"/>
      <c r="I70" s="58"/>
    </row>
    <row r="71" spans="2:10" s="32" customFormat="1" ht="12.75" customHeight="1">
      <c r="B71" s="438"/>
      <c r="C71" s="438"/>
      <c r="D71" s="438"/>
      <c r="E71" s="438"/>
      <c r="F71" s="438"/>
      <c r="G71" s="438"/>
      <c r="H71" s="438"/>
      <c r="I71" s="58"/>
    </row>
    <row r="72" spans="2:10" s="32" customFormat="1" ht="12.75" customHeight="1">
      <c r="B72" s="438"/>
      <c r="C72" s="438"/>
      <c r="D72" s="438"/>
      <c r="E72" s="438"/>
      <c r="F72" s="438"/>
      <c r="G72" s="438"/>
      <c r="H72" s="438"/>
      <c r="I72" s="58"/>
    </row>
    <row r="73" spans="2:10" s="32" customFormat="1" ht="12.75" customHeight="1">
      <c r="B73" s="438"/>
      <c r="C73" s="438"/>
      <c r="D73" s="438"/>
      <c r="E73" s="438"/>
      <c r="F73" s="438"/>
      <c r="G73" s="438"/>
      <c r="H73" s="438"/>
      <c r="I73" s="58"/>
    </row>
    <row r="74" spans="2:10" s="32" customFormat="1" ht="12.75" customHeight="1">
      <c r="B74" s="438"/>
      <c r="C74" s="438"/>
      <c r="D74" s="438"/>
      <c r="E74" s="438"/>
      <c r="F74" s="438"/>
      <c r="G74" s="438"/>
      <c r="H74" s="438"/>
      <c r="I74" s="58"/>
    </row>
    <row r="75" spans="2:10" s="32" customFormat="1" ht="12.75" customHeight="1">
      <c r="B75" s="438"/>
      <c r="C75" s="438"/>
      <c r="D75" s="438"/>
      <c r="E75" s="438"/>
      <c r="F75" s="438"/>
      <c r="G75" s="438"/>
      <c r="H75" s="438"/>
      <c r="I75" s="58"/>
    </row>
    <row r="76" spans="2:10" s="32" customFormat="1" ht="12.75" customHeight="1">
      <c r="B76" s="438"/>
      <c r="C76" s="438"/>
      <c r="D76" s="438"/>
      <c r="E76" s="438"/>
      <c r="F76" s="438"/>
      <c r="G76" s="438"/>
      <c r="H76" s="438"/>
      <c r="I76" s="58"/>
    </row>
    <row r="77" spans="2:10" s="32" customFormat="1" ht="12.75" customHeight="1">
      <c r="B77" s="438"/>
      <c r="C77" s="438"/>
      <c r="D77" s="438"/>
      <c r="E77" s="438"/>
      <c r="F77" s="438"/>
      <c r="G77" s="438"/>
      <c r="H77" s="438"/>
      <c r="I77" s="58"/>
    </row>
    <row r="78" spans="2:10" s="32" customFormat="1" ht="12.75" customHeight="1">
      <c r="B78" s="438"/>
      <c r="C78" s="438"/>
      <c r="D78" s="438"/>
      <c r="E78" s="438"/>
      <c r="F78" s="438"/>
      <c r="G78" s="438"/>
      <c r="H78" s="438"/>
      <c r="I78" s="58"/>
    </row>
    <row r="79" spans="2:10" s="32" customFormat="1" ht="12.75" customHeight="1">
      <c r="B79" s="438"/>
      <c r="C79" s="438"/>
      <c r="D79" s="438"/>
      <c r="E79" s="438"/>
      <c r="F79" s="438"/>
      <c r="G79" s="438"/>
      <c r="H79" s="438"/>
      <c r="I79" s="58"/>
    </row>
    <row r="80" spans="2:10" s="32" customFormat="1" ht="12.75" customHeight="1">
      <c r="B80" s="438"/>
      <c r="C80" s="438"/>
      <c r="D80" s="438"/>
      <c r="E80" s="438"/>
      <c r="F80" s="438"/>
      <c r="G80" s="438"/>
      <c r="H80" s="438"/>
      <c r="I80" s="58"/>
    </row>
    <row r="81" spans="2:9" s="32" customFormat="1" ht="12.75" customHeight="1">
      <c r="B81" s="438"/>
      <c r="C81" s="438"/>
      <c r="D81" s="438"/>
      <c r="E81" s="438"/>
      <c r="F81" s="438"/>
      <c r="G81" s="438"/>
      <c r="H81" s="438"/>
      <c r="I81" s="58"/>
    </row>
    <row r="82" spans="2:9" s="32" customFormat="1" ht="12.75" customHeight="1">
      <c r="B82" s="438"/>
      <c r="C82" s="438"/>
      <c r="D82" s="438"/>
      <c r="E82" s="438"/>
      <c r="F82" s="438"/>
      <c r="G82" s="438"/>
      <c r="H82" s="438"/>
      <c r="I82" s="58"/>
    </row>
    <row r="83" spans="2:9" s="32" customFormat="1" ht="12.75" customHeight="1">
      <c r="B83" s="438"/>
      <c r="C83" s="438"/>
      <c r="D83" s="438"/>
      <c r="E83" s="438"/>
      <c r="F83" s="438"/>
      <c r="G83" s="438"/>
      <c r="H83" s="438"/>
      <c r="I83" s="58"/>
    </row>
    <row r="84" spans="2:9" s="32" customFormat="1" ht="12.75" customHeight="1">
      <c r="B84" s="438"/>
      <c r="C84" s="438"/>
      <c r="D84" s="438"/>
      <c r="E84" s="438"/>
      <c r="F84" s="438"/>
      <c r="G84" s="438"/>
      <c r="H84" s="438"/>
      <c r="I84" s="58"/>
    </row>
    <row r="85" spans="2:9" s="32" customFormat="1" ht="12.75" customHeight="1">
      <c r="B85" s="438"/>
      <c r="C85" s="438"/>
      <c r="D85" s="438"/>
      <c r="E85" s="438"/>
      <c r="F85" s="438"/>
      <c r="G85" s="438"/>
      <c r="H85" s="438"/>
      <c r="I85" s="58"/>
    </row>
    <row r="86" spans="2:9" s="32" customFormat="1" ht="12.75" customHeight="1">
      <c r="B86" s="438"/>
      <c r="C86" s="438"/>
      <c r="D86" s="438"/>
      <c r="E86" s="438"/>
      <c r="F86" s="438"/>
      <c r="G86" s="438"/>
      <c r="H86" s="438"/>
      <c r="I86" s="58"/>
    </row>
    <row r="87" spans="2:9" s="32" customFormat="1" ht="12.75" customHeight="1">
      <c r="B87" s="438"/>
      <c r="C87" s="438"/>
      <c r="D87" s="438"/>
      <c r="E87" s="438"/>
      <c r="F87" s="438"/>
      <c r="G87" s="438"/>
      <c r="H87" s="438"/>
      <c r="I87" s="58"/>
    </row>
    <row r="88" spans="2:9" s="32" customFormat="1" ht="12.75" customHeight="1">
      <c r="B88" s="438"/>
      <c r="C88" s="438"/>
      <c r="D88" s="438"/>
      <c r="E88" s="438"/>
      <c r="F88" s="438"/>
      <c r="G88" s="438"/>
      <c r="H88" s="438"/>
      <c r="I88" s="58"/>
    </row>
    <row r="89" spans="2:9" s="32" customFormat="1" ht="12.75" customHeight="1">
      <c r="B89" s="438"/>
      <c r="C89" s="438"/>
      <c r="D89" s="438"/>
      <c r="E89" s="438"/>
      <c r="F89" s="438"/>
      <c r="G89" s="438"/>
      <c r="H89" s="438"/>
      <c r="I89" s="58"/>
    </row>
    <row r="90" spans="2:9" s="32" customFormat="1" ht="12.75" customHeight="1">
      <c r="B90" s="438"/>
      <c r="C90" s="438"/>
      <c r="D90" s="438"/>
      <c r="E90" s="438"/>
      <c r="F90" s="438"/>
      <c r="G90" s="438"/>
      <c r="H90" s="438"/>
      <c r="I90" s="58"/>
    </row>
    <row r="91" spans="2:9" s="32" customFormat="1" ht="12.75" customHeight="1">
      <c r="B91" s="438"/>
      <c r="C91" s="438"/>
      <c r="D91" s="438"/>
      <c r="E91" s="438"/>
      <c r="F91" s="438"/>
      <c r="G91" s="438"/>
      <c r="H91" s="438"/>
      <c r="I91" s="58"/>
    </row>
    <row r="92" spans="2:9" s="32" customFormat="1" ht="12.75" customHeight="1">
      <c r="B92" s="438"/>
      <c r="C92" s="438"/>
      <c r="D92" s="438"/>
      <c r="E92" s="438"/>
      <c r="F92" s="438"/>
      <c r="G92" s="438"/>
      <c r="H92" s="438"/>
      <c r="I92" s="58"/>
    </row>
    <row r="93" spans="2:9" s="32" customFormat="1" ht="12.75" customHeight="1">
      <c r="B93" s="438"/>
      <c r="C93" s="438"/>
      <c r="D93" s="438"/>
      <c r="E93" s="438"/>
      <c r="F93" s="438"/>
      <c r="G93" s="438"/>
      <c r="H93" s="438"/>
      <c r="I93" s="58"/>
    </row>
    <row r="94" spans="2:9" s="32" customFormat="1" ht="12.75" customHeight="1">
      <c r="B94" s="438"/>
      <c r="C94" s="438"/>
      <c r="D94" s="438"/>
      <c r="E94" s="438"/>
      <c r="F94" s="438"/>
      <c r="G94" s="438"/>
      <c r="H94" s="438"/>
      <c r="I94" s="58"/>
    </row>
    <row r="95" spans="2:9" s="32" customFormat="1" ht="12.75" customHeight="1">
      <c r="B95" s="438"/>
      <c r="C95" s="438"/>
      <c r="D95" s="438"/>
      <c r="E95" s="438"/>
      <c r="F95" s="438"/>
      <c r="G95" s="438"/>
      <c r="H95" s="438"/>
      <c r="I95" s="58"/>
    </row>
    <row r="96" spans="2:9" s="32" customFormat="1" ht="12.75" customHeight="1">
      <c r="B96" s="438"/>
      <c r="C96" s="438"/>
      <c r="D96" s="438"/>
      <c r="E96" s="438"/>
      <c r="F96" s="438"/>
      <c r="G96" s="438"/>
      <c r="H96" s="438"/>
      <c r="I96" s="58"/>
    </row>
    <row r="97" spans="2:9" s="32" customFormat="1" ht="12.75" customHeight="1">
      <c r="B97" s="438"/>
      <c r="C97" s="438"/>
      <c r="D97" s="438"/>
      <c r="E97" s="438"/>
      <c r="F97" s="438"/>
      <c r="G97" s="438"/>
      <c r="H97" s="438"/>
      <c r="I97" s="58"/>
    </row>
    <row r="98" spans="2:9" s="32" customFormat="1" ht="12.75" customHeight="1">
      <c r="B98" s="438"/>
      <c r="C98" s="438"/>
      <c r="D98" s="438"/>
      <c r="E98" s="438"/>
      <c r="F98" s="438"/>
      <c r="G98" s="438"/>
      <c r="H98" s="438"/>
      <c r="I98" s="58"/>
    </row>
    <row r="99" spans="2:9" s="32" customFormat="1" ht="12.75" customHeight="1">
      <c r="B99" s="438"/>
      <c r="C99" s="438"/>
      <c r="D99" s="438"/>
      <c r="E99" s="438"/>
      <c r="F99" s="438"/>
      <c r="G99" s="438"/>
      <c r="H99" s="438"/>
      <c r="I99" s="58"/>
    </row>
    <row r="100" spans="2:9" s="32" customFormat="1" ht="12.75" customHeight="1">
      <c r="B100" s="438"/>
      <c r="C100" s="438"/>
      <c r="D100" s="438"/>
      <c r="E100" s="438"/>
      <c r="F100" s="438"/>
      <c r="G100" s="438"/>
      <c r="H100" s="438"/>
      <c r="I100" s="58"/>
    </row>
    <row r="101" spans="2:9" s="32" customFormat="1" ht="12.75" customHeight="1">
      <c r="B101" s="438"/>
      <c r="C101" s="438"/>
      <c r="D101" s="438"/>
      <c r="E101" s="438"/>
      <c r="F101" s="438"/>
      <c r="G101" s="438"/>
      <c r="H101" s="438"/>
      <c r="I101" s="58"/>
    </row>
    <row r="102" spans="2:9" s="32" customFormat="1" ht="12.75" customHeight="1">
      <c r="B102" s="438"/>
      <c r="C102" s="438"/>
      <c r="D102" s="438"/>
      <c r="E102" s="438"/>
      <c r="F102" s="438"/>
      <c r="G102" s="438"/>
      <c r="H102" s="438"/>
      <c r="I102" s="58"/>
    </row>
    <row r="103" spans="2:9" s="32" customFormat="1" ht="12.75" customHeight="1">
      <c r="I103" s="58"/>
    </row>
    <row r="104" spans="2:9" s="32" customFormat="1" ht="12.75" customHeight="1">
      <c r="I104" s="58"/>
    </row>
    <row r="105" spans="2:9" s="32" customFormat="1" ht="12.75" customHeight="1">
      <c r="I105" s="58"/>
    </row>
    <row r="106" spans="2:9" s="32" customFormat="1" ht="12.75" customHeight="1">
      <c r="I106" s="58"/>
    </row>
    <row r="107" spans="2:9" s="32" customFormat="1" ht="12.75" customHeight="1">
      <c r="I107" s="58"/>
    </row>
    <row r="108" spans="2:9" s="32" customFormat="1" ht="12.75" customHeight="1">
      <c r="I108" s="58"/>
    </row>
    <row r="109" spans="2:9" s="32" customFormat="1" ht="12.75" customHeight="1">
      <c r="I109" s="58"/>
    </row>
    <row r="110" spans="2:9" s="32" customFormat="1" ht="12.75" customHeight="1">
      <c r="I110" s="58"/>
    </row>
    <row r="111" spans="2:9" s="32" customFormat="1" ht="12.75" customHeight="1">
      <c r="I111" s="58"/>
    </row>
    <row r="112" spans="2:9" s="32" customFormat="1" ht="12.75" customHeight="1">
      <c r="I112" s="58"/>
    </row>
    <row r="113" spans="9:9" s="32" customFormat="1" ht="12.75" customHeight="1">
      <c r="I113" s="58"/>
    </row>
    <row r="114" spans="9:9" s="32" customFormat="1" ht="12.75" customHeight="1">
      <c r="I114" s="58"/>
    </row>
    <row r="115" spans="9:9" s="32" customFormat="1" ht="12.75" customHeight="1">
      <c r="I115" s="58"/>
    </row>
    <row r="116" spans="9:9" s="32" customFormat="1" ht="12.75" customHeight="1">
      <c r="I116" s="58"/>
    </row>
    <row r="117" spans="9:9" s="32" customFormat="1" ht="12.75" customHeight="1">
      <c r="I117" s="58"/>
    </row>
    <row r="118" spans="9:9" s="32" customFormat="1" ht="12.75" customHeight="1">
      <c r="I118" s="58"/>
    </row>
    <row r="119" spans="9:9" s="32" customFormat="1" ht="12.75" customHeight="1">
      <c r="I119" s="58"/>
    </row>
    <row r="120" spans="9:9" s="32" customFormat="1" ht="12.75" customHeight="1">
      <c r="I120" s="58"/>
    </row>
    <row r="121" spans="9:9" s="32" customFormat="1" ht="12.75" customHeight="1">
      <c r="I121" s="58"/>
    </row>
    <row r="122" spans="9:9" s="32" customFormat="1" ht="12.75" customHeight="1">
      <c r="I122" s="58"/>
    </row>
    <row r="123" spans="9:9" s="32" customFormat="1" ht="12.75" customHeight="1">
      <c r="I123" s="58"/>
    </row>
    <row r="124" spans="9:9" s="32" customFormat="1" ht="12.75" customHeight="1">
      <c r="I124" s="58"/>
    </row>
    <row r="125" spans="9:9" s="32" customFormat="1" ht="12.75" customHeight="1">
      <c r="I125" s="58"/>
    </row>
    <row r="126" spans="9:9" s="32" customFormat="1" ht="12.75" customHeight="1">
      <c r="I126" s="58"/>
    </row>
    <row r="127" spans="9:9" s="32" customFormat="1" ht="12.75" customHeight="1">
      <c r="I127" s="58"/>
    </row>
    <row r="128" spans="9:9" s="32" customFormat="1" ht="12.75" customHeight="1">
      <c r="I128" s="58"/>
    </row>
    <row r="129" spans="9:9" s="32" customFormat="1" ht="12.75" customHeight="1">
      <c r="I129" s="58"/>
    </row>
    <row r="130" spans="9:9" s="32" customFormat="1" ht="12.75" customHeight="1">
      <c r="I130" s="58"/>
    </row>
    <row r="131" spans="9:9" s="32" customFormat="1" ht="12.75" customHeight="1">
      <c r="I131" s="58"/>
    </row>
    <row r="132" spans="9:9" s="32" customFormat="1" ht="12.75" customHeight="1">
      <c r="I132" s="58"/>
    </row>
    <row r="133" spans="9:9" s="32" customFormat="1" ht="12.75" customHeight="1">
      <c r="I133" s="58"/>
    </row>
    <row r="134" spans="9:9" s="32" customFormat="1" ht="12.75" customHeight="1">
      <c r="I134" s="58"/>
    </row>
    <row r="135" spans="9:9" s="32" customFormat="1" ht="12.75" customHeight="1">
      <c r="I135" s="58"/>
    </row>
    <row r="136" spans="9:9" s="32" customFormat="1" ht="12.75" customHeight="1">
      <c r="I136" s="58"/>
    </row>
    <row r="137" spans="9:9" s="32" customFormat="1" ht="12.75" customHeight="1">
      <c r="I137" s="58"/>
    </row>
    <row r="138" spans="9:9" s="32" customFormat="1" ht="12.75" customHeight="1">
      <c r="I138" s="58"/>
    </row>
    <row r="139" spans="9:9" s="32" customFormat="1" ht="12.75" customHeight="1">
      <c r="I139" s="58"/>
    </row>
    <row r="140" spans="9:9" s="32" customFormat="1" ht="12.75" customHeight="1">
      <c r="I140" s="58"/>
    </row>
    <row r="141" spans="9:9" s="32" customFormat="1" ht="12.75" customHeight="1">
      <c r="I141" s="58"/>
    </row>
    <row r="142" spans="9:9" s="32" customFormat="1" ht="12.75" customHeight="1">
      <c r="I142" s="58"/>
    </row>
    <row r="143" spans="9:9" s="32" customFormat="1" ht="12.75" customHeight="1">
      <c r="I143" s="58"/>
    </row>
    <row r="144" spans="9:9" s="32" customFormat="1" ht="12.75" customHeight="1">
      <c r="I144" s="58"/>
    </row>
    <row r="145" spans="9:9" s="32" customFormat="1" ht="12.75" customHeight="1">
      <c r="I145" s="58"/>
    </row>
    <row r="146" spans="9:9" s="32" customFormat="1" ht="12.75" customHeight="1">
      <c r="I146" s="58"/>
    </row>
    <row r="147" spans="9:9" s="32" customFormat="1" ht="12.75" customHeight="1">
      <c r="I147" s="58"/>
    </row>
    <row r="148" spans="9:9" s="32" customFormat="1" ht="12.75" customHeight="1">
      <c r="I148" s="58"/>
    </row>
    <row r="149" spans="9:9" s="32" customFormat="1" ht="12.75" customHeight="1">
      <c r="I149" s="58"/>
    </row>
    <row r="150" spans="9:9" s="32" customFormat="1" ht="12.75" customHeight="1">
      <c r="I150" s="58"/>
    </row>
    <row r="151" spans="9:9" s="32" customFormat="1" ht="12.75" customHeight="1">
      <c r="I151" s="58"/>
    </row>
    <row r="152" spans="9:9" s="32" customFormat="1" ht="12.75" customHeight="1">
      <c r="I152" s="58"/>
    </row>
    <row r="153" spans="9:9" s="32" customFormat="1" ht="12.75" customHeight="1">
      <c r="I153" s="58"/>
    </row>
    <row r="154" spans="9:9" s="32" customFormat="1" ht="12.75" customHeight="1">
      <c r="I154" s="58"/>
    </row>
    <row r="155" spans="9:9" s="32" customFormat="1" ht="12.75" customHeight="1">
      <c r="I155" s="58"/>
    </row>
    <row r="156" spans="9:9" s="32" customFormat="1" ht="12.75" customHeight="1">
      <c r="I156" s="58"/>
    </row>
    <row r="157" spans="9:9" s="32" customFormat="1" ht="12.75" customHeight="1">
      <c r="I157" s="58"/>
    </row>
    <row r="158" spans="9:9" s="32" customFormat="1" ht="12.75" customHeight="1">
      <c r="I158" s="58"/>
    </row>
    <row r="159" spans="9:9" s="32" customFormat="1" ht="12.75" customHeight="1">
      <c r="I159" s="58"/>
    </row>
    <row r="160" spans="9:9" s="32" customFormat="1" ht="12.75" customHeight="1">
      <c r="I160" s="58"/>
    </row>
    <row r="161" spans="9:9" s="32" customFormat="1" ht="12.75" customHeight="1">
      <c r="I161" s="58"/>
    </row>
    <row r="162" spans="9:9" s="32" customFormat="1" ht="12.75" customHeight="1">
      <c r="I162" s="58"/>
    </row>
    <row r="163" spans="9:9" s="32" customFormat="1" ht="12.75" customHeight="1">
      <c r="I163" s="58"/>
    </row>
    <row r="164" spans="9:9" s="32" customFormat="1" ht="12.75" customHeight="1">
      <c r="I164" s="58"/>
    </row>
    <row r="165" spans="9:9" s="32" customFormat="1" ht="12.75" customHeight="1">
      <c r="I165" s="58"/>
    </row>
    <row r="166" spans="9:9" s="32" customFormat="1" ht="12.75" customHeight="1">
      <c r="I166" s="58"/>
    </row>
    <row r="167" spans="9:9" s="32" customFormat="1" ht="12.75" customHeight="1">
      <c r="I167" s="58"/>
    </row>
    <row r="168" spans="9:9" s="32" customFormat="1" ht="12.75" customHeight="1">
      <c r="I168" s="58"/>
    </row>
    <row r="169" spans="9:9" s="32" customFormat="1" ht="12.75" customHeight="1">
      <c r="I169" s="58"/>
    </row>
    <row r="170" spans="9:9" s="32" customFormat="1" ht="12.75" customHeight="1">
      <c r="I170" s="58"/>
    </row>
    <row r="171" spans="9:9" s="32" customFormat="1" ht="12.75" customHeight="1">
      <c r="I171" s="58"/>
    </row>
    <row r="172" spans="9:9" s="32" customFormat="1" ht="12.75" customHeight="1">
      <c r="I172" s="58"/>
    </row>
    <row r="173" spans="9:9" s="32" customFormat="1" ht="12.75" customHeight="1">
      <c r="I173" s="58"/>
    </row>
    <row r="174" spans="9:9" s="32" customFormat="1" ht="12.75" customHeight="1">
      <c r="I174" s="58"/>
    </row>
    <row r="175" spans="9:9" s="32" customFormat="1" ht="12.75" customHeight="1">
      <c r="I175" s="58"/>
    </row>
    <row r="176" spans="9:9" s="32" customFormat="1" ht="12.75" customHeight="1">
      <c r="I176" s="58"/>
    </row>
    <row r="177" spans="9:9" s="32" customFormat="1" ht="12.75" customHeight="1">
      <c r="I177" s="58"/>
    </row>
    <row r="178" spans="9:9" s="32" customFormat="1" ht="12.75" customHeight="1">
      <c r="I178" s="58"/>
    </row>
    <row r="179" spans="9:9" s="32" customFormat="1" ht="12.75" customHeight="1">
      <c r="I179" s="58"/>
    </row>
    <row r="180" spans="9:9" s="32" customFormat="1" ht="12.75" customHeight="1">
      <c r="I180" s="58"/>
    </row>
    <row r="181" spans="9:9" s="32" customFormat="1" ht="12.75" customHeight="1">
      <c r="I181" s="58"/>
    </row>
    <row r="182" spans="9:9" s="32" customFormat="1" ht="12.75" customHeight="1">
      <c r="I182" s="58"/>
    </row>
    <row r="183" spans="9:9" s="32" customFormat="1" ht="12.75" customHeight="1">
      <c r="I183" s="58"/>
    </row>
    <row r="184" spans="9:9" s="32" customFormat="1" ht="12.75" customHeight="1">
      <c r="I184" s="58"/>
    </row>
    <row r="185" spans="9:9" s="32" customFormat="1" ht="12.75" customHeight="1">
      <c r="I185" s="58"/>
    </row>
    <row r="186" spans="9:9" s="32" customFormat="1" ht="12.75" customHeight="1">
      <c r="I186" s="58"/>
    </row>
    <row r="187" spans="9:9" s="32" customFormat="1" ht="12.75" customHeight="1">
      <c r="I187" s="58"/>
    </row>
    <row r="188" spans="9:9" s="32" customFormat="1" ht="12.75" customHeight="1">
      <c r="I188" s="58"/>
    </row>
    <row r="189" spans="9:9" s="32" customFormat="1" ht="12.75" customHeight="1">
      <c r="I189" s="58"/>
    </row>
    <row r="190" spans="9:9" s="32" customFormat="1" ht="12.75" customHeight="1">
      <c r="I190" s="58"/>
    </row>
    <row r="191" spans="9:9" s="32" customFormat="1" ht="12.75" customHeight="1">
      <c r="I191" s="58"/>
    </row>
    <row r="192" spans="9:9" s="32" customFormat="1" ht="12.75" customHeight="1">
      <c r="I192" s="58"/>
    </row>
    <row r="193" spans="9:9" s="32" customFormat="1" ht="12.75" customHeight="1">
      <c r="I193" s="58"/>
    </row>
    <row r="194" spans="9:9" s="32" customFormat="1" ht="12.75" customHeight="1">
      <c r="I194" s="58"/>
    </row>
    <row r="195" spans="9:9" s="32" customFormat="1" ht="12.75" customHeight="1">
      <c r="I195" s="58"/>
    </row>
    <row r="196" spans="9:9" s="32" customFormat="1" ht="12.75" customHeight="1">
      <c r="I196" s="58"/>
    </row>
    <row r="197" spans="9:9" s="32" customFormat="1" ht="12.75" customHeight="1">
      <c r="I197" s="58"/>
    </row>
    <row r="198" spans="9:9" s="32" customFormat="1" ht="12.75" customHeight="1">
      <c r="I198" s="58"/>
    </row>
    <row r="199" spans="9:9" s="32" customFormat="1" ht="12.75" customHeight="1">
      <c r="I199" s="58"/>
    </row>
    <row r="200" spans="9:9" s="32" customFormat="1" ht="12.75" customHeight="1">
      <c r="I200" s="58"/>
    </row>
    <row r="201" spans="9:9" s="32" customFormat="1" ht="12.75" customHeight="1">
      <c r="I201" s="58"/>
    </row>
    <row r="202" spans="9:9" s="32" customFormat="1" ht="12.75" customHeight="1">
      <c r="I202" s="58"/>
    </row>
    <row r="203" spans="9:9" s="32" customFormat="1" ht="12.75" customHeight="1">
      <c r="I203" s="58"/>
    </row>
    <row r="204" spans="9:9" s="32" customFormat="1" ht="12.75" customHeight="1">
      <c r="I204" s="58"/>
    </row>
    <row r="205" spans="9:9" s="32" customFormat="1" ht="12.75" customHeight="1">
      <c r="I205" s="58"/>
    </row>
    <row r="206" spans="9:9" s="32" customFormat="1" ht="12.75" customHeight="1">
      <c r="I206" s="58"/>
    </row>
    <row r="207" spans="9:9" s="32" customFormat="1" ht="12.75" customHeight="1">
      <c r="I207" s="58"/>
    </row>
    <row r="208" spans="9:9" s="32" customFormat="1" ht="12.75" customHeight="1">
      <c r="I208" s="58"/>
    </row>
    <row r="209" spans="9:9" s="32" customFormat="1" ht="12.75" customHeight="1">
      <c r="I209" s="58"/>
    </row>
    <row r="210" spans="9:9" s="32" customFormat="1" ht="12.75" customHeight="1">
      <c r="I210" s="58"/>
    </row>
    <row r="211" spans="9:9" s="32" customFormat="1" ht="12.75" customHeight="1">
      <c r="I211" s="58"/>
    </row>
    <row r="212" spans="9:9" s="32" customFormat="1" ht="12.75" customHeight="1">
      <c r="I212" s="58"/>
    </row>
    <row r="213" spans="9:9" s="32" customFormat="1" ht="12.75" customHeight="1">
      <c r="I213" s="58"/>
    </row>
    <row r="214" spans="9:9" s="32" customFormat="1" ht="12.75" customHeight="1">
      <c r="I214" s="58"/>
    </row>
    <row r="215" spans="9:9" s="32" customFormat="1" ht="12.75" customHeight="1">
      <c r="I215" s="58"/>
    </row>
    <row r="216" spans="9:9" s="32" customFormat="1" ht="12.75" customHeight="1">
      <c r="I216" s="58"/>
    </row>
    <row r="217" spans="9:9" s="32" customFormat="1" ht="12.75" customHeight="1">
      <c r="I217" s="58"/>
    </row>
    <row r="218" spans="9:9" s="32" customFormat="1" ht="12.75" customHeight="1">
      <c r="I218" s="58"/>
    </row>
    <row r="219" spans="9:9" s="32" customFormat="1" ht="12.75" customHeight="1">
      <c r="I219" s="58"/>
    </row>
    <row r="220" spans="9:9" s="32" customFormat="1" ht="12.75" customHeight="1">
      <c r="I220" s="58"/>
    </row>
    <row r="221" spans="9:9" s="32" customFormat="1" ht="12.75" customHeight="1">
      <c r="I221" s="58"/>
    </row>
    <row r="222" spans="9:9" s="32" customFormat="1" ht="12.75" customHeight="1">
      <c r="I222" s="58"/>
    </row>
    <row r="223" spans="9:9" s="32" customFormat="1" ht="12.75" customHeight="1">
      <c r="I223" s="58"/>
    </row>
    <row r="224" spans="9:9" s="32" customFormat="1" ht="12.75" customHeight="1">
      <c r="I224" s="58"/>
    </row>
    <row r="225" spans="9:9" s="32" customFormat="1" ht="12.75" customHeight="1">
      <c r="I225" s="58"/>
    </row>
    <row r="226" spans="9:9" s="32" customFormat="1" ht="12.75" customHeight="1">
      <c r="I226" s="58"/>
    </row>
    <row r="227" spans="9:9" s="32" customFormat="1" ht="12.75" customHeight="1">
      <c r="I227" s="58"/>
    </row>
    <row r="228" spans="9:9" s="32" customFormat="1" ht="12.75" customHeight="1">
      <c r="I228" s="58"/>
    </row>
    <row r="229" spans="9:9" s="32" customFormat="1" ht="12.75" customHeight="1">
      <c r="I229" s="58"/>
    </row>
    <row r="230" spans="9:9" s="32" customFormat="1" ht="12.75" customHeight="1">
      <c r="I230" s="58"/>
    </row>
    <row r="231" spans="9:9" s="32" customFormat="1" ht="12.75" customHeight="1">
      <c r="I231" s="58"/>
    </row>
    <row r="232" spans="9:9" s="32" customFormat="1" ht="12.75" customHeight="1">
      <c r="I232" s="58"/>
    </row>
    <row r="233" spans="9:9" s="32" customFormat="1" ht="12.75" customHeight="1">
      <c r="I233" s="58"/>
    </row>
    <row r="234" spans="9:9" s="32" customFormat="1" ht="12.75" customHeight="1">
      <c r="I234" s="58"/>
    </row>
    <row r="235" spans="9:9" s="32" customFormat="1" ht="12.75" customHeight="1">
      <c r="I235" s="58"/>
    </row>
    <row r="236" spans="9:9" s="32" customFormat="1" ht="12.75" customHeight="1">
      <c r="I236" s="58"/>
    </row>
    <row r="237" spans="9:9" s="32" customFormat="1" ht="12.75" customHeight="1">
      <c r="I237" s="58"/>
    </row>
    <row r="238" spans="9:9" s="32" customFormat="1" ht="12.75" customHeight="1">
      <c r="I238" s="58"/>
    </row>
    <row r="239" spans="9:9" s="32" customFormat="1" ht="12.75" customHeight="1">
      <c r="I239" s="58"/>
    </row>
    <row r="240" spans="9:9" s="32" customFormat="1" ht="12.75" customHeight="1">
      <c r="I240" s="58"/>
    </row>
    <row r="241" spans="9:9" s="32" customFormat="1" ht="12.75" customHeight="1">
      <c r="I241" s="58"/>
    </row>
    <row r="242" spans="9:9" s="32" customFormat="1" ht="12.75" customHeight="1">
      <c r="I242" s="58"/>
    </row>
    <row r="243" spans="9:9" s="32" customFormat="1" ht="12.75" customHeight="1">
      <c r="I243" s="58"/>
    </row>
    <row r="244" spans="9:9" s="32" customFormat="1" ht="12.75" customHeight="1">
      <c r="I244" s="58"/>
    </row>
    <row r="245" spans="9:9" s="32" customFormat="1" ht="12.75" customHeight="1">
      <c r="I245" s="58"/>
    </row>
    <row r="246" spans="9:9" s="32" customFormat="1" ht="12.75" customHeight="1">
      <c r="I246" s="58"/>
    </row>
    <row r="247" spans="9:9" s="32" customFormat="1" ht="12.75" customHeight="1">
      <c r="I247" s="58"/>
    </row>
    <row r="248" spans="9:9" s="32" customFormat="1" ht="12.75" customHeight="1">
      <c r="I248" s="58"/>
    </row>
    <row r="249" spans="9:9" s="32" customFormat="1" ht="12.75" customHeight="1">
      <c r="I249" s="58"/>
    </row>
    <row r="250" spans="9:9" s="32" customFormat="1" ht="12.75" customHeight="1">
      <c r="I250" s="58"/>
    </row>
    <row r="251" spans="9:9" s="32" customFormat="1" ht="12.75" customHeight="1">
      <c r="I251" s="58"/>
    </row>
    <row r="252" spans="9:9" s="32" customFormat="1" ht="12.75" customHeight="1">
      <c r="I252" s="58"/>
    </row>
    <row r="253" spans="9:9" s="32" customFormat="1" ht="12.75" customHeight="1">
      <c r="I253" s="58"/>
    </row>
    <row r="254" spans="9:9" s="32" customFormat="1" ht="12.75" customHeight="1">
      <c r="I254" s="58"/>
    </row>
    <row r="255" spans="9:9" s="32" customFormat="1" ht="12.75" customHeight="1">
      <c r="I255" s="58"/>
    </row>
    <row r="256" spans="9:9" s="32" customFormat="1" ht="12.75" customHeight="1">
      <c r="I256" s="58"/>
    </row>
    <row r="257" spans="9:9" s="32" customFormat="1" ht="12.75" customHeight="1">
      <c r="I257" s="58"/>
    </row>
    <row r="258" spans="9:9" s="32" customFormat="1" ht="12.75" customHeight="1">
      <c r="I258" s="58"/>
    </row>
    <row r="259" spans="9:9" s="32" customFormat="1" ht="12.75" customHeight="1">
      <c r="I259" s="58"/>
    </row>
    <row r="260" spans="9:9" s="32" customFormat="1" ht="12.75" customHeight="1">
      <c r="I260" s="58"/>
    </row>
    <row r="261" spans="9:9" s="32" customFormat="1" ht="12.75" customHeight="1">
      <c r="I261" s="58"/>
    </row>
    <row r="262" spans="9:9" s="32" customFormat="1" ht="12.75" customHeight="1">
      <c r="I262" s="58"/>
    </row>
    <row r="263" spans="9:9" s="32" customFormat="1" ht="12.75" customHeight="1">
      <c r="I263" s="58"/>
    </row>
    <row r="264" spans="9:9" s="32" customFormat="1" ht="12.75" customHeight="1">
      <c r="I264" s="58"/>
    </row>
    <row r="265" spans="9:9" s="32" customFormat="1" ht="12.75" customHeight="1">
      <c r="I265" s="58"/>
    </row>
    <row r="266" spans="9:9" s="32" customFormat="1" ht="12.75" customHeight="1">
      <c r="I266" s="58"/>
    </row>
    <row r="267" spans="9:9" s="32" customFormat="1" ht="12.75" customHeight="1">
      <c r="I267" s="58"/>
    </row>
    <row r="268" spans="9:9" s="32" customFormat="1" ht="12.75" customHeight="1">
      <c r="I268" s="58"/>
    </row>
    <row r="269" spans="9:9" s="32" customFormat="1" ht="12.75" customHeight="1">
      <c r="I269" s="58"/>
    </row>
    <row r="270" spans="9:9" s="32" customFormat="1" ht="12.75" customHeight="1">
      <c r="I270" s="58"/>
    </row>
    <row r="271" spans="9:9" s="32" customFormat="1" ht="12.75" customHeight="1">
      <c r="I271" s="58"/>
    </row>
    <row r="272" spans="9:9" s="32" customFormat="1" ht="12.75" customHeight="1">
      <c r="I272" s="58"/>
    </row>
    <row r="273" spans="9:9" s="32" customFormat="1" ht="12.75" customHeight="1">
      <c r="I273" s="58"/>
    </row>
    <row r="274" spans="9:9" s="32" customFormat="1" ht="12.75" customHeight="1">
      <c r="I274" s="58"/>
    </row>
    <row r="275" spans="9:9" s="32" customFormat="1" ht="12.75" customHeight="1">
      <c r="I275" s="58"/>
    </row>
    <row r="276" spans="9:9" s="32" customFormat="1" ht="12.75" customHeight="1">
      <c r="I276" s="58"/>
    </row>
    <row r="277" spans="9:9" s="32" customFormat="1" ht="12.75" customHeight="1">
      <c r="I277" s="58"/>
    </row>
    <row r="278" spans="9:9" s="32" customFormat="1" ht="12.75" customHeight="1">
      <c r="I278" s="58"/>
    </row>
    <row r="279" spans="9:9" s="32" customFormat="1" ht="12.75" customHeight="1">
      <c r="I279" s="58"/>
    </row>
    <row r="280" spans="9:9" s="32" customFormat="1" ht="12.75" customHeight="1">
      <c r="I280" s="58"/>
    </row>
    <row r="281" spans="9:9" s="32" customFormat="1" ht="12.75" customHeight="1">
      <c r="I281" s="58"/>
    </row>
    <row r="282" spans="9:9" s="32" customFormat="1" ht="12.75" customHeight="1">
      <c r="I282" s="58"/>
    </row>
    <row r="283" spans="9:9" s="32" customFormat="1" ht="12.75" customHeight="1">
      <c r="I283" s="58"/>
    </row>
    <row r="284" spans="9:9" s="32" customFormat="1" ht="12.75" customHeight="1">
      <c r="I284" s="58"/>
    </row>
    <row r="285" spans="9:9" s="32" customFormat="1" ht="12.75" customHeight="1">
      <c r="I285" s="58"/>
    </row>
    <row r="286" spans="9:9" s="32" customFormat="1" ht="12.75" customHeight="1">
      <c r="I286" s="58"/>
    </row>
    <row r="287" spans="9:9" s="32" customFormat="1" ht="12.75" customHeight="1">
      <c r="I287" s="58"/>
    </row>
    <row r="288" spans="9:9" s="32" customFormat="1" ht="12.75" customHeight="1">
      <c r="I288" s="58"/>
    </row>
    <row r="289" spans="9:9" s="32" customFormat="1" ht="12.75" customHeight="1">
      <c r="I289" s="58"/>
    </row>
    <row r="290" spans="9:9" s="32" customFormat="1" ht="12.75" customHeight="1">
      <c r="I290" s="58"/>
    </row>
    <row r="291" spans="9:9" s="32" customFormat="1" ht="12.75" customHeight="1">
      <c r="I291" s="58"/>
    </row>
    <row r="292" spans="9:9" s="32" customFormat="1" ht="12.75" customHeight="1">
      <c r="I292" s="58"/>
    </row>
    <row r="293" spans="9:9" s="32" customFormat="1" ht="12.75" customHeight="1">
      <c r="I293" s="58"/>
    </row>
    <row r="294" spans="9:9" s="32" customFormat="1" ht="12.75" customHeight="1">
      <c r="I294" s="58"/>
    </row>
    <row r="295" spans="9:9" s="32" customFormat="1" ht="12.75" customHeight="1">
      <c r="I295" s="58"/>
    </row>
    <row r="296" spans="9:9" s="32" customFormat="1" ht="12.75" customHeight="1">
      <c r="I296" s="58"/>
    </row>
    <row r="297" spans="9:9" s="32" customFormat="1" ht="12.75" customHeight="1">
      <c r="I297" s="58"/>
    </row>
    <row r="298" spans="9:9" s="32" customFormat="1" ht="12.75" customHeight="1">
      <c r="I298" s="58"/>
    </row>
    <row r="299" spans="9:9" s="32" customFormat="1" ht="12.75" customHeight="1">
      <c r="I299" s="58"/>
    </row>
    <row r="300" spans="9:9" s="32" customFormat="1" ht="12.75" customHeight="1">
      <c r="I300" s="58"/>
    </row>
    <row r="301" spans="9:9" s="32" customFormat="1" ht="12.75" customHeight="1">
      <c r="I301" s="58"/>
    </row>
    <row r="302" spans="9:9" s="32" customFormat="1" ht="12.75" customHeight="1">
      <c r="I302" s="58"/>
    </row>
    <row r="303" spans="9:9" s="32" customFormat="1" ht="12.75" customHeight="1">
      <c r="I303" s="58"/>
    </row>
    <row r="304" spans="9:9" s="32" customFormat="1" ht="12.75" customHeight="1">
      <c r="I304" s="58"/>
    </row>
    <row r="305" spans="9:9" s="32" customFormat="1" ht="12.75" customHeight="1">
      <c r="I305" s="58"/>
    </row>
    <row r="306" spans="9:9" s="32" customFormat="1" ht="12.75" customHeight="1">
      <c r="I306" s="58"/>
    </row>
    <row r="307" spans="9:9" s="32" customFormat="1" ht="12.75" customHeight="1">
      <c r="I307" s="58"/>
    </row>
    <row r="308" spans="9:9" s="32" customFormat="1" ht="12.75" customHeight="1">
      <c r="I308" s="58"/>
    </row>
    <row r="309" spans="9:9" s="32" customFormat="1" ht="12.75" customHeight="1">
      <c r="I309" s="58"/>
    </row>
    <row r="310" spans="9:9" s="32" customFormat="1" ht="12.75" customHeight="1">
      <c r="I310" s="58"/>
    </row>
    <row r="311" spans="9:9" s="32" customFormat="1" ht="12.75" customHeight="1">
      <c r="I311" s="58"/>
    </row>
    <row r="312" spans="9:9" s="32" customFormat="1" ht="12.75" customHeight="1">
      <c r="I312" s="58"/>
    </row>
    <row r="313" spans="9:9" s="32" customFormat="1" ht="12.75" customHeight="1">
      <c r="I313" s="58"/>
    </row>
    <row r="314" spans="9:9" s="32" customFormat="1" ht="12.75" customHeight="1">
      <c r="I314" s="58"/>
    </row>
    <row r="315" spans="9:9" s="32" customFormat="1" ht="12.75" customHeight="1">
      <c r="I315" s="58"/>
    </row>
    <row r="316" spans="9:9" s="32" customFormat="1" ht="12.75" customHeight="1">
      <c r="I316" s="58"/>
    </row>
    <row r="317" spans="9:9" s="32" customFormat="1" ht="12.75" customHeight="1">
      <c r="I317" s="58"/>
    </row>
    <row r="318" spans="9:9" s="32" customFormat="1" ht="12.75" customHeight="1">
      <c r="I318" s="58"/>
    </row>
    <row r="319" spans="9:9" s="32" customFormat="1" ht="12.75" customHeight="1">
      <c r="I319" s="58"/>
    </row>
    <row r="320" spans="9:9" s="32" customFormat="1" ht="12.75" customHeight="1">
      <c r="I320" s="58"/>
    </row>
    <row r="321" spans="9:9" s="32" customFormat="1" ht="12.75" customHeight="1">
      <c r="I321" s="58"/>
    </row>
    <row r="322" spans="9:9" s="32" customFormat="1" ht="12.75" customHeight="1">
      <c r="I322" s="58"/>
    </row>
    <row r="323" spans="9:9" s="32" customFormat="1" ht="12.75" customHeight="1">
      <c r="I323" s="58"/>
    </row>
    <row r="324" spans="9:9" s="32" customFormat="1" ht="12.75" customHeight="1">
      <c r="I324" s="58"/>
    </row>
    <row r="325" spans="9:9" s="32" customFormat="1" ht="12.75" customHeight="1">
      <c r="I325" s="58"/>
    </row>
    <row r="326" spans="9:9" s="32" customFormat="1" ht="12.75" customHeight="1">
      <c r="I326" s="58"/>
    </row>
    <row r="327" spans="9:9" s="32" customFormat="1" ht="12.75" customHeight="1">
      <c r="I327" s="58"/>
    </row>
    <row r="328" spans="9:9" s="32" customFormat="1" ht="12.75" customHeight="1">
      <c r="I328" s="58"/>
    </row>
    <row r="329" spans="9:9" s="32" customFormat="1" ht="12.75" customHeight="1">
      <c r="I329" s="58"/>
    </row>
    <row r="330" spans="9:9" s="32" customFormat="1" ht="12.75" customHeight="1">
      <c r="I330" s="58"/>
    </row>
    <row r="331" spans="9:9" s="32" customFormat="1" ht="12.75" customHeight="1">
      <c r="I331" s="58"/>
    </row>
    <row r="332" spans="9:9" s="32" customFormat="1" ht="12.75" customHeight="1">
      <c r="I332" s="58"/>
    </row>
    <row r="333" spans="9:9" s="32" customFormat="1" ht="12.75" customHeight="1">
      <c r="I333" s="58"/>
    </row>
    <row r="334" spans="9:9" s="32" customFormat="1" ht="12.75" customHeight="1">
      <c r="I334" s="58"/>
    </row>
    <row r="335" spans="9:9" s="32" customFormat="1" ht="12.75" customHeight="1">
      <c r="I335" s="58"/>
    </row>
    <row r="336" spans="9:9" s="32" customFormat="1" ht="12.75" customHeight="1">
      <c r="I336" s="58"/>
    </row>
    <row r="337" spans="9:9" s="32" customFormat="1" ht="12.75" customHeight="1">
      <c r="I337" s="58"/>
    </row>
    <row r="338" spans="9:9" s="32" customFormat="1" ht="12.75" customHeight="1">
      <c r="I338" s="58"/>
    </row>
    <row r="339" spans="9:9" s="32" customFormat="1" ht="12.75" customHeight="1">
      <c r="I339" s="58"/>
    </row>
    <row r="340" spans="9:9" s="32" customFormat="1" ht="12.75" customHeight="1">
      <c r="I340" s="58"/>
    </row>
    <row r="341" spans="9:9" s="32" customFormat="1" ht="12.75" customHeight="1">
      <c r="I341" s="58"/>
    </row>
    <row r="342" spans="9:9" ht="12.75" customHeight="1"/>
    <row r="343" spans="9:9" ht="12.75" customHeight="1"/>
    <row r="344" spans="9:9" ht="12.75" customHeight="1"/>
    <row r="345" spans="9:9" ht="12.75" customHeight="1"/>
    <row r="346" spans="9:9" ht="12.75" customHeight="1"/>
    <row r="347" spans="9:9" ht="12.75" customHeight="1"/>
    <row r="348" spans="9:9" ht="12.75" customHeight="1"/>
    <row r="349" spans="9:9" ht="12.75" customHeight="1"/>
    <row r="350" spans="9:9" ht="12.75" customHeight="1"/>
    <row r="351" spans="9:9" ht="12.75" customHeight="1"/>
    <row r="352" spans="9:9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</sheetData>
  <mergeCells count="13">
    <mergeCell ref="K18:L18"/>
    <mergeCell ref="E22:E23"/>
    <mergeCell ref="C22:D22"/>
    <mergeCell ref="B48:H48"/>
    <mergeCell ref="B2:H2"/>
    <mergeCell ref="B22:B23"/>
    <mergeCell ref="B42:B43"/>
    <mergeCell ref="B7:B8"/>
    <mergeCell ref="B3:H3"/>
    <mergeCell ref="F22:G22"/>
    <mergeCell ref="H7:H8"/>
    <mergeCell ref="D7:D8"/>
    <mergeCell ref="E7:G7"/>
  </mergeCells>
  <phoneticPr fontId="0" type="noConversion"/>
  <conditionalFormatting sqref="F8:G8">
    <cfRule type="expression" dxfId="2" priority="12" stopIfTrue="1">
      <formula>ABS($I8-($J8+#REF!+$I8+$I8))&gt;отклонение</formula>
    </cfRule>
  </conditionalFormatting>
  <conditionalFormatting sqref="E8">
    <cfRule type="expression" dxfId="1" priority="23" stopIfTrue="1">
      <formula>ABS(#REF!-($G8+#REF!+#REF!+#REF!))&gt;отклонение</formula>
    </cfRule>
  </conditionalFormatting>
  <conditionalFormatting sqref="E7">
    <cfRule type="expression" dxfId="0" priority="61" stopIfTrue="1">
      <formula>ABS($G7-($I7+$J7+$K7+$K7))&gt;отклонение</formula>
    </cfRule>
  </conditionalFormatting>
  <pageMargins left="1.1811023622047245" right="0.39370078740157483" top="0.39370078740157483" bottom="0.39370078740157483" header="0.31496062992125984" footer="0.31496062992125984"/>
  <pageSetup paperSize="9" scale="62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L22"/>
  <sheetViews>
    <sheetView workbookViewId="0">
      <selection activeCell="F16" sqref="F16:G16"/>
    </sheetView>
  </sheetViews>
  <sheetFormatPr defaultColWidth="12.140625" defaultRowHeight="12.75"/>
  <cols>
    <col min="1" max="1" width="43.7109375" customWidth="1"/>
    <col min="2" max="2" width="13.42578125" customWidth="1"/>
    <col min="3" max="3" width="12.5703125" customWidth="1"/>
    <col min="4" max="4" width="13.85546875" customWidth="1"/>
    <col min="5" max="5" width="10.28515625" bestFit="1" customWidth="1"/>
    <col min="6" max="6" width="14.140625" customWidth="1"/>
    <col min="7" max="7" width="11" customWidth="1"/>
    <col min="8" max="8" width="13.85546875" customWidth="1"/>
    <col min="9" max="250" width="9.140625" customWidth="1"/>
    <col min="251" max="251" width="43.7109375" customWidth="1"/>
    <col min="252" max="252" width="12.28515625" customWidth="1"/>
    <col min="253" max="253" width="11.28515625" customWidth="1"/>
    <col min="254" max="254" width="10.85546875" customWidth="1"/>
    <col min="255" max="255" width="10.28515625" bestFit="1" customWidth="1"/>
  </cols>
  <sheetData>
    <row r="1" spans="1:12">
      <c r="H1" s="1429" t="s">
        <v>190</v>
      </c>
      <c r="I1" s="1429"/>
    </row>
    <row r="2" spans="1:12" ht="41.25" customHeight="1">
      <c r="A2" s="1430" t="s">
        <v>27</v>
      </c>
      <c r="B2" s="1430"/>
      <c r="C2" s="1430"/>
      <c r="D2" s="1430"/>
      <c r="E2" s="1430"/>
      <c r="F2" s="1430"/>
      <c r="G2" s="1430"/>
      <c r="H2" s="1430"/>
      <c r="I2" s="1430"/>
    </row>
    <row r="4" spans="1:12" ht="30" customHeight="1">
      <c r="A4" s="1431" t="s">
        <v>14</v>
      </c>
      <c r="B4" s="1432" t="s">
        <v>15</v>
      </c>
      <c r="C4" s="1433"/>
      <c r="D4" s="1434" t="s">
        <v>5</v>
      </c>
      <c r="E4" s="1428"/>
      <c r="F4" s="1428"/>
      <c r="G4" s="1428"/>
      <c r="H4" s="1428"/>
      <c r="I4" s="1428"/>
    </row>
    <row r="5" spans="1:12" ht="30" customHeight="1">
      <c r="A5" s="1431"/>
      <c r="B5" s="1435" t="s">
        <v>16</v>
      </c>
      <c r="C5" s="1435" t="s">
        <v>17</v>
      </c>
      <c r="D5" s="1428" t="s">
        <v>698</v>
      </c>
      <c r="E5" s="1428"/>
      <c r="F5" s="1428" t="s">
        <v>495</v>
      </c>
      <c r="G5" s="1428"/>
      <c r="H5" s="1428" t="s">
        <v>499</v>
      </c>
      <c r="I5" s="1428"/>
    </row>
    <row r="6" spans="1:12" ht="25.5">
      <c r="A6" s="1431"/>
      <c r="B6" s="1435"/>
      <c r="C6" s="1435"/>
      <c r="D6" s="1054" t="s">
        <v>16</v>
      </c>
      <c r="E6" s="1054" t="s">
        <v>17</v>
      </c>
      <c r="F6" s="1054" t="s">
        <v>16</v>
      </c>
      <c r="G6" s="1054" t="s">
        <v>17</v>
      </c>
      <c r="H6" s="1054" t="s">
        <v>16</v>
      </c>
      <c r="I6" s="1054" t="s">
        <v>17</v>
      </c>
    </row>
    <row r="7" spans="1:12" ht="30" customHeight="1">
      <c r="A7" s="656" t="s">
        <v>18</v>
      </c>
      <c r="B7" s="944">
        <f>D7+F7+H7</f>
        <v>35801.897561867081</v>
      </c>
      <c r="C7" s="1055">
        <f>SUM(C8:C10)</f>
        <v>0.99999999999999989</v>
      </c>
      <c r="D7" s="944">
        <f>SUM(D8:D10)</f>
        <v>19588.114301054971</v>
      </c>
      <c r="E7" s="1056" t="s">
        <v>946</v>
      </c>
      <c r="F7" s="944">
        <f>SUM(F8:F10)</f>
        <v>15052.981225973366</v>
      </c>
      <c r="G7" s="1056" t="s">
        <v>946</v>
      </c>
      <c r="H7" s="944">
        <f>SUM(H8:H10)</f>
        <v>1160.8020348387422</v>
      </c>
      <c r="I7" s="1056" t="s">
        <v>946</v>
      </c>
      <c r="K7">
        <f>'Повна собів'!D28+'Повна собів'!D62+'Повна собів'!D95</f>
        <v>35801.897561867081</v>
      </c>
      <c r="L7" s="1231">
        <f>K7-B7</f>
        <v>0</v>
      </c>
    </row>
    <row r="8" spans="1:12" ht="30" customHeight="1">
      <c r="A8" s="1057" t="s">
        <v>19</v>
      </c>
      <c r="B8" s="1172">
        <f>D8+F8+H8</f>
        <v>27612.526635016577</v>
      </c>
      <c r="C8" s="1058">
        <f>B8/B7</f>
        <v>0.77125874647568748</v>
      </c>
      <c r="D8" s="1172">
        <f>'розр.виробн. дод.3'!F34</f>
        <v>14358.180539390803</v>
      </c>
      <c r="E8" s="1058">
        <f>D8/B8</f>
        <v>0.51998792899968116</v>
      </c>
      <c r="F8" s="1172">
        <f>'розр.виробн. дод.3'!G34</f>
        <v>12305.420624576354</v>
      </c>
      <c r="G8" s="1058">
        <f>F8/B8</f>
        <v>0.44564631072085037</v>
      </c>
      <c r="H8" s="1172">
        <f>'розр.виробн. дод.3'!H34</f>
        <v>948.92547104942037</v>
      </c>
      <c r="I8" s="1058">
        <f>H8/B8</f>
        <v>3.4365760279468562E-2</v>
      </c>
    </row>
    <row r="9" spans="1:12" ht="30" customHeight="1">
      <c r="A9" s="1057" t="s">
        <v>20</v>
      </c>
      <c r="B9" s="1172">
        <f>D9+F9+H9</f>
        <v>7157.7425063316141</v>
      </c>
      <c r="C9" s="1058">
        <f>B9/B7</f>
        <v>0.19992634451743108</v>
      </c>
      <c r="D9" s="1172">
        <f>'розр. транспорт. дод4'!F34</f>
        <v>4571.1104705766575</v>
      </c>
      <c r="E9" s="1058">
        <f>D9/B9</f>
        <v>0.63862460357202466</v>
      </c>
      <c r="F9" s="1172">
        <f>'розр. транспорт. дод4'!G34</f>
        <v>2401.4459084838168</v>
      </c>
      <c r="G9" s="1058">
        <f>F9/B9</f>
        <v>0.33550325488232352</v>
      </c>
      <c r="H9" s="1172">
        <f>'розр. транспорт. дод4'!H34</f>
        <v>185.18612727114009</v>
      </c>
      <c r="I9" s="1058">
        <f>H9/B9</f>
        <v>2.5872141545651813E-2</v>
      </c>
    </row>
    <row r="10" spans="1:12" ht="30" customHeight="1">
      <c r="A10" s="1057" t="s">
        <v>21</v>
      </c>
      <c r="B10" s="1172">
        <f>D10+F10+H10</f>
        <v>1031.6284205188847</v>
      </c>
      <c r="C10" s="1058">
        <f>B10/B7</f>
        <v>2.881490900688128E-2</v>
      </c>
      <c r="D10" s="1172">
        <f>'розр. пост. дод.5'!F29</f>
        <v>658.82329108750673</v>
      </c>
      <c r="E10" s="1058">
        <f>D10/B10</f>
        <v>0.63862460357202466</v>
      </c>
      <c r="F10" s="1172">
        <f>'розр. пост. дод.5'!G29</f>
        <v>346.11469291319617</v>
      </c>
      <c r="G10" s="1058">
        <f>F10/B10</f>
        <v>0.33550325488232347</v>
      </c>
      <c r="H10" s="1172">
        <f>'розр. пост. дод.5'!H29</f>
        <v>26.690436518181798</v>
      </c>
      <c r="I10" s="1058">
        <f>H10/B10</f>
        <v>2.5872141545651813E-2</v>
      </c>
    </row>
    <row r="11" spans="1:12" ht="30" customHeight="1">
      <c r="A11" s="1059" t="s">
        <v>22</v>
      </c>
      <c r="B11" s="1173">
        <v>613.92399999999998</v>
      </c>
      <c r="C11" s="1060">
        <v>1</v>
      </c>
      <c r="D11" s="1174" t="s">
        <v>946</v>
      </c>
      <c r="E11" s="1061" t="s">
        <v>946</v>
      </c>
      <c r="F11" s="1174" t="s">
        <v>946</v>
      </c>
      <c r="G11" s="1061" t="s">
        <v>946</v>
      </c>
      <c r="H11" s="1174" t="s">
        <v>946</v>
      </c>
      <c r="I11" s="1061" t="s">
        <v>946</v>
      </c>
    </row>
    <row r="12" spans="1:12" ht="30" customHeight="1">
      <c r="A12" s="835" t="s">
        <v>23</v>
      </c>
      <c r="B12" s="1172">
        <f>B11*C8</f>
        <v>473.49425467133995</v>
      </c>
      <c r="C12" s="1058">
        <f>C8</f>
        <v>0.77125874647568748</v>
      </c>
      <c r="D12" s="1172">
        <f>B12*E12</f>
        <v>246.21129687979766</v>
      </c>
      <c r="E12" s="1058">
        <f>E8</f>
        <v>0.51998792899968116</v>
      </c>
      <c r="F12" s="1172">
        <f>G12*B12</f>
        <v>211.01096774180141</v>
      </c>
      <c r="G12" s="1058">
        <f>G8</f>
        <v>0.44564631072085037</v>
      </c>
      <c r="H12" s="1172">
        <f>I12*B12</f>
        <v>16.271990049740907</v>
      </c>
      <c r="I12" s="1058">
        <f>I8</f>
        <v>3.4365760279468562E-2</v>
      </c>
    </row>
    <row r="13" spans="1:12" ht="30" customHeight="1">
      <c r="A13" s="835" t="s">
        <v>24</v>
      </c>
      <c r="B13" s="1172">
        <f>B11*C9</f>
        <v>122.73958113151936</v>
      </c>
      <c r="C13" s="1058">
        <f>C9</f>
        <v>0.19992634451743108</v>
      </c>
      <c r="D13" s="1172">
        <f>B13*E13</f>
        <v>78.384516342712914</v>
      </c>
      <c r="E13" s="1058">
        <f>E9</f>
        <v>0.63862460357202466</v>
      </c>
      <c r="F13" s="1172">
        <f>G13*B13</f>
        <v>41.179528972517765</v>
      </c>
      <c r="G13" s="1058">
        <f>G9</f>
        <v>0.33550325488232352</v>
      </c>
      <c r="H13" s="1172">
        <f>I13*B13</f>
        <v>3.1755358162886833</v>
      </c>
      <c r="I13" s="1058">
        <f>I9</f>
        <v>2.5872141545651813E-2</v>
      </c>
    </row>
    <row r="14" spans="1:12" ht="30" customHeight="1">
      <c r="A14" s="835" t="s">
        <v>25</v>
      </c>
      <c r="B14" s="1172">
        <f>B11*C10</f>
        <v>17.690164197140582</v>
      </c>
      <c r="C14" s="1058">
        <f>C10</f>
        <v>2.881490900688128E-2</v>
      </c>
      <c r="D14" s="1172">
        <f>B14*E14</f>
        <v>11.297374097522928</v>
      </c>
      <c r="E14" s="1058">
        <f>E10</f>
        <v>0.63862460357202466</v>
      </c>
      <c r="F14" s="1172">
        <f>G14*B14</f>
        <v>5.9351076675434102</v>
      </c>
      <c r="G14" s="1058">
        <f>G10</f>
        <v>0.33550325488232347</v>
      </c>
      <c r="H14" s="1172">
        <f>I14*B14</f>
        <v>0.45768243207424314</v>
      </c>
      <c r="I14" s="1058">
        <f>I10</f>
        <v>2.5872141545651813E-2</v>
      </c>
    </row>
    <row r="16" spans="1:12">
      <c r="A16" t="s">
        <v>368</v>
      </c>
      <c r="F16" s="1429" t="s">
        <v>370</v>
      </c>
      <c r="G16" s="1429"/>
    </row>
    <row r="17" spans="1:8">
      <c r="C17" s="4"/>
      <c r="D17" s="4"/>
    </row>
    <row r="18" spans="1:8">
      <c r="B18">
        <f>C18/C20</f>
        <v>0.82111111111111101</v>
      </c>
      <c r="C18">
        <v>221.7</v>
      </c>
      <c r="F18">
        <v>221.7</v>
      </c>
    </row>
    <row r="19" spans="1:8">
      <c r="A19" t="s">
        <v>26</v>
      </c>
      <c r="B19" s="1062">
        <f>C19/C18</f>
        <v>0.21921515561569691</v>
      </c>
      <c r="C19">
        <f>C20*0.18</f>
        <v>48.6</v>
      </c>
      <c r="F19">
        <f>0.219*F18</f>
        <v>48.552299999999995</v>
      </c>
    </row>
    <row r="20" spans="1:8">
      <c r="B20">
        <f>C20*0.18</f>
        <v>48.6</v>
      </c>
      <c r="C20">
        <v>270</v>
      </c>
      <c r="F20">
        <f>F18+F19</f>
        <v>270.25229999999999</v>
      </c>
      <c r="G20">
        <f>F20*0.18</f>
        <v>48.645413999999995</v>
      </c>
      <c r="H20">
        <f>F20-G20</f>
        <v>221.606886</v>
      </c>
    </row>
    <row r="22" spans="1:8">
      <c r="A22" t="s">
        <v>368</v>
      </c>
      <c r="E22" s="1429" t="s">
        <v>370</v>
      </c>
      <c r="F22" s="1429"/>
    </row>
  </sheetData>
  <mergeCells count="12">
    <mergeCell ref="F5:G5"/>
    <mergeCell ref="H5:I5"/>
    <mergeCell ref="H1:I1"/>
    <mergeCell ref="F16:G16"/>
    <mergeCell ref="E22:F22"/>
    <mergeCell ref="A2:I2"/>
    <mergeCell ref="A4:A6"/>
    <mergeCell ref="B4:C4"/>
    <mergeCell ref="D4:I4"/>
    <mergeCell ref="B5:B6"/>
    <mergeCell ref="C5:C6"/>
    <mergeCell ref="D5:E5"/>
  </mergeCells>
  <phoneticPr fontId="51" type="noConversion"/>
  <pageMargins left="0.7" right="0.7" top="0.75" bottom="0.75" header="0.3" footer="0.3"/>
  <pageSetup paperSize="9" scale="8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30"/>
  <dimension ref="A1:Q25"/>
  <sheetViews>
    <sheetView topLeftCell="C1" workbookViewId="0">
      <selection activeCell="B1" sqref="B1:O25"/>
    </sheetView>
  </sheetViews>
  <sheetFormatPr defaultRowHeight="12.75"/>
  <cols>
    <col min="1" max="1" width="8" customWidth="1"/>
    <col min="2" max="2" width="44" customWidth="1"/>
    <col min="3" max="3" width="10.42578125" style="2" customWidth="1"/>
    <col min="4" max="4" width="11.28515625" customWidth="1"/>
    <col min="5" max="5" width="9.28515625" customWidth="1"/>
    <col min="6" max="6" width="10.7109375" customWidth="1"/>
    <col min="7" max="7" width="11.140625" customWidth="1"/>
    <col min="8" max="8" width="10.85546875" customWidth="1"/>
    <col min="9" max="9" width="10.7109375" customWidth="1"/>
    <col min="10" max="10" width="10.42578125" customWidth="1"/>
    <col min="11" max="11" width="8.28515625" customWidth="1"/>
    <col min="12" max="12" width="10.42578125" customWidth="1"/>
    <col min="13" max="13" width="10.28515625" customWidth="1"/>
    <col min="15" max="15" width="10.140625" customWidth="1"/>
  </cols>
  <sheetData>
    <row r="1" spans="1:15" ht="31.5" customHeight="1">
      <c r="B1" s="1735" t="s">
        <v>304</v>
      </c>
      <c r="C1" s="1735"/>
      <c r="D1" s="1735"/>
      <c r="E1" s="1735"/>
      <c r="F1" s="1735"/>
      <c r="G1" s="1735"/>
      <c r="H1" s="1735"/>
      <c r="I1" s="1735"/>
      <c r="J1" s="1735"/>
      <c r="K1" s="1735"/>
      <c r="L1" s="1735"/>
      <c r="M1" s="1735"/>
      <c r="N1" s="1735"/>
      <c r="O1" s="1735"/>
    </row>
    <row r="2" spans="1:15" ht="20.25" customHeight="1">
      <c r="A2" s="1734" t="s">
        <v>294</v>
      </c>
      <c r="B2" s="1731" t="s">
        <v>701</v>
      </c>
      <c r="C2" s="1737" t="s">
        <v>775</v>
      </c>
      <c r="D2" s="1736" t="s">
        <v>776</v>
      </c>
      <c r="E2" s="1736"/>
      <c r="F2" s="1736"/>
      <c r="G2" s="1736" t="s">
        <v>698</v>
      </c>
      <c r="H2" s="1736"/>
      <c r="I2" s="1736"/>
      <c r="J2" s="1736" t="s">
        <v>495</v>
      </c>
      <c r="K2" s="1736"/>
      <c r="L2" s="1736"/>
      <c r="M2" s="1736" t="s">
        <v>499</v>
      </c>
      <c r="N2" s="1736"/>
      <c r="O2" s="1736"/>
    </row>
    <row r="3" spans="1:15" ht="64.5" customHeight="1">
      <c r="A3" s="1734"/>
      <c r="B3" s="1731"/>
      <c r="C3" s="1737"/>
      <c r="D3" s="1241" t="s">
        <v>293</v>
      </c>
      <c r="E3" s="1241" t="s">
        <v>777</v>
      </c>
      <c r="F3" s="1241" t="s">
        <v>774</v>
      </c>
      <c r="G3" s="1241" t="s">
        <v>293</v>
      </c>
      <c r="H3" s="1241" t="s">
        <v>777</v>
      </c>
      <c r="I3" s="1241" t="s">
        <v>774</v>
      </c>
      <c r="J3" s="1241" t="s">
        <v>293</v>
      </c>
      <c r="K3" s="1241" t="s">
        <v>777</v>
      </c>
      <c r="L3" s="1241" t="s">
        <v>774</v>
      </c>
      <c r="M3" s="1241" t="s">
        <v>293</v>
      </c>
      <c r="N3" s="1241" t="s">
        <v>777</v>
      </c>
      <c r="O3" s="1241" t="s">
        <v>774</v>
      </c>
    </row>
    <row r="4" spans="1:15" ht="28.5">
      <c r="A4" s="1242">
        <v>1</v>
      </c>
      <c r="B4" s="1243" t="s">
        <v>436</v>
      </c>
      <c r="C4" s="1244" t="s">
        <v>692</v>
      </c>
      <c r="D4" s="1264">
        <f>D5+D12</f>
        <v>31203.185356150989</v>
      </c>
      <c r="E4" s="1264"/>
      <c r="F4" s="1264"/>
      <c r="G4" s="1264">
        <f>G5+G12</f>
        <v>17011.624991368841</v>
      </c>
      <c r="H4" s="1264"/>
      <c r="I4" s="1264"/>
      <c r="J4" s="1265">
        <f>J5+J12</f>
        <v>13175.536412569109</v>
      </c>
      <c r="K4" s="1265"/>
      <c r="L4" s="1265"/>
      <c r="M4" s="1265">
        <f>M5+M12</f>
        <v>1016.0239522130405</v>
      </c>
      <c r="N4" s="1266"/>
      <c r="O4" s="1267"/>
    </row>
    <row r="5" spans="1:15" s="45" customFormat="1" ht="15">
      <c r="A5" s="1258" t="s">
        <v>295</v>
      </c>
      <c r="B5" s="780" t="s">
        <v>396</v>
      </c>
      <c r="C5" s="1255" t="s">
        <v>692</v>
      </c>
      <c r="D5" s="1259">
        <f>G5+J5+M5</f>
        <v>29723.172788097032</v>
      </c>
      <c r="E5" s="1260">
        <f>D5/$D$18*100</f>
        <v>90.717957611738711</v>
      </c>
      <c r="F5" s="1256">
        <f>$D$20*E5/100</f>
        <v>2480.6520437403633</v>
      </c>
      <c r="G5" s="1259">
        <f>SUM(G6:G11)</f>
        <v>16066.452551813767</v>
      </c>
      <c r="H5" s="1260">
        <f>G5/$G$18*100</f>
        <v>89.215247467797951</v>
      </c>
      <c r="I5" s="1256">
        <f>$G$20*H5/100</f>
        <v>2099.6409503154423</v>
      </c>
      <c r="J5" s="1261">
        <f>SUM(J6:J11)</f>
        <v>12678.98737872026</v>
      </c>
      <c r="K5" s="1262">
        <f>J5/$J$18*100</f>
        <v>92.551940354603303</v>
      </c>
      <c r="L5" s="1257">
        <f>$J$20*K5/100</f>
        <v>3153.9769598806615</v>
      </c>
      <c r="M5" s="1261">
        <f>SUM(M6:M11)</f>
        <v>977.73285756300493</v>
      </c>
      <c r="N5" s="1262">
        <f>M5/$M$18*100</f>
        <v>92.551940354603317</v>
      </c>
      <c r="O5" s="1256">
        <f>$M$20*N5/100</f>
        <v>3153.9769598806611</v>
      </c>
    </row>
    <row r="6" spans="1:15" ht="14.25">
      <c r="A6" s="1249" t="s">
        <v>297</v>
      </c>
      <c r="B6" s="1250" t="s">
        <v>769</v>
      </c>
      <c r="C6" s="1244" t="s">
        <v>692</v>
      </c>
      <c r="D6" s="1245">
        <f t="shared" ref="D6:D13" si="0">G6+J6+M6</f>
        <v>20753.821955695345</v>
      </c>
      <c r="E6" s="1251">
        <f t="shared" ref="E6:E13" si="1">D6/$D$18*100</f>
        <v>63.34264359598609</v>
      </c>
      <c r="F6" s="1252">
        <f t="shared" ref="F6:F13" si="2">$D$20*E6/100</f>
        <v>1732.0832879064719</v>
      </c>
      <c r="G6" s="1245">
        <f>Прямі!D8</f>
        <v>9978.0429825416904</v>
      </c>
      <c r="H6" s="1251">
        <f t="shared" ref="H6:H13" si="3">G6/$G$18*100</f>
        <v>55.406977430825968</v>
      </c>
      <c r="I6" s="1252">
        <f t="shared" ref="I6:I13" si="4">$G$20*H6/100</f>
        <v>1303.9784347283965</v>
      </c>
      <c r="J6" s="1246">
        <f>'Повна собів'!F8+'Повна собів'!F40+'Повна собів'!F74</f>
        <v>10004.30288038746</v>
      </c>
      <c r="K6" s="1253">
        <f t="shared" ref="K6:K13" si="5">J6/$J$18*100</f>
        <v>73.027728147203405</v>
      </c>
      <c r="L6" s="1254">
        <f t="shared" ref="L6:L13" si="6">$J$20*K6/100</f>
        <v>2488.6325573103131</v>
      </c>
      <c r="M6" s="1246">
        <f>'Повна собів'!G8+'Повна собів'!G40+'Повна собів'!G74</f>
        <v>771.47609276619721</v>
      </c>
      <c r="N6" s="1253">
        <f t="shared" ref="N6:N13" si="7">M6/$M$18*100</f>
        <v>73.027728147203433</v>
      </c>
      <c r="O6" s="1252">
        <f t="shared" ref="O6:O13" si="8">$M$20*N6/100</f>
        <v>2488.6325573103136</v>
      </c>
    </row>
    <row r="7" spans="1:15" ht="14.25">
      <c r="A7" s="1249" t="s">
        <v>298</v>
      </c>
      <c r="B7" s="1250" t="s">
        <v>683</v>
      </c>
      <c r="C7" s="1244" t="s">
        <v>692</v>
      </c>
      <c r="D7" s="1245">
        <f t="shared" si="0"/>
        <v>1717.6851079999999</v>
      </c>
      <c r="E7" s="1251">
        <f t="shared" si="1"/>
        <v>5.2425387400183796</v>
      </c>
      <c r="F7" s="1252">
        <f t="shared" si="2"/>
        <v>143.35545885494906</v>
      </c>
      <c r="G7" s="1245">
        <f>Прямі!D9+Прямі!D27+Прямі!D47</f>
        <v>1096.9559711580703</v>
      </c>
      <c r="H7" s="1251">
        <f t="shared" si="3"/>
        <v>6.0912760992218988</v>
      </c>
      <c r="I7" s="1252">
        <f t="shared" si="4"/>
        <v>143.35545885494906</v>
      </c>
      <c r="J7" s="1246">
        <f>'Повна собів'!F9+'Повна собів'!F41+'Повна собів'!F75</f>
        <v>576.28894459689536</v>
      </c>
      <c r="K7" s="1253">
        <f t="shared" si="5"/>
        <v>4.2066971465612921</v>
      </c>
      <c r="L7" s="1254">
        <f t="shared" si="6"/>
        <v>143.35545885494909</v>
      </c>
      <c r="M7" s="1246">
        <f>'Повна собів'!G9+'Повна собів'!G41+'Повна собів'!G75</f>
        <v>44.440192245034211</v>
      </c>
      <c r="N7" s="1253">
        <f t="shared" si="7"/>
        <v>4.2066971465612921</v>
      </c>
      <c r="O7" s="1252">
        <f t="shared" si="8"/>
        <v>143.35545885494906</v>
      </c>
    </row>
    <row r="8" spans="1:15" ht="14.25">
      <c r="A8" s="1249" t="s">
        <v>299</v>
      </c>
      <c r="B8" s="1250" t="s">
        <v>682</v>
      </c>
      <c r="C8" s="1244" t="s">
        <v>692</v>
      </c>
      <c r="D8" s="1245">
        <f t="shared" si="0"/>
        <v>187.93775000000002</v>
      </c>
      <c r="E8" s="1251">
        <f t="shared" si="1"/>
        <v>0.57360393386311503</v>
      </c>
      <c r="F8" s="1252">
        <f t="shared" si="2"/>
        <v>15.685006676681693</v>
      </c>
      <c r="G8" s="1245">
        <f>Прямі!D10+Прямі!D28+Прямі!D48</f>
        <v>120.02167108996829</v>
      </c>
      <c r="H8" s="1251">
        <f t="shared" si="3"/>
        <v>0.66646716524746186</v>
      </c>
      <c r="I8" s="1252">
        <f t="shared" si="4"/>
        <v>15.685006676681684</v>
      </c>
      <c r="J8" s="1246">
        <f>'Повна собів'!F10+'Повна собів'!F42+'Повна собів'!F76</f>
        <v>63.053726840260389</v>
      </c>
      <c r="K8" s="1253">
        <f t="shared" si="5"/>
        <v>0.46026899399313498</v>
      </c>
      <c r="L8" s="1254">
        <f t="shared" si="6"/>
        <v>15.68500667668169</v>
      </c>
      <c r="M8" s="1246">
        <f>'Повна собів'!G10+'Повна собів'!G42+'Повна собів'!G76</f>
        <v>4.8623520697713234</v>
      </c>
      <c r="N8" s="1253">
        <f t="shared" si="7"/>
        <v>0.46026899399313509</v>
      </c>
      <c r="O8" s="1252">
        <f t="shared" si="8"/>
        <v>15.68500667668169</v>
      </c>
    </row>
    <row r="9" spans="1:15" ht="14.25">
      <c r="A9" s="1242" t="s">
        <v>300</v>
      </c>
      <c r="B9" s="1250" t="s">
        <v>509</v>
      </c>
      <c r="C9" s="1244" t="s">
        <v>692</v>
      </c>
      <c r="D9" s="1245">
        <f t="shared" si="0"/>
        <v>303.63791500000002</v>
      </c>
      <c r="E9" s="1251">
        <f t="shared" si="1"/>
        <v>0.92673187006864832</v>
      </c>
      <c r="F9" s="1252">
        <f t="shared" si="2"/>
        <v>25.341171340343848</v>
      </c>
      <c r="G9" s="1245">
        <f>Прямі!D11+Прямі!D29+Прямі!D49</f>
        <v>193.91064309631113</v>
      </c>
      <c r="H9" s="1251">
        <f t="shared" si="3"/>
        <v>1.0767645162916966</v>
      </c>
      <c r="I9" s="1252">
        <f t="shared" si="4"/>
        <v>25.341171340343845</v>
      </c>
      <c r="J9" s="1246">
        <f>'Повна собів'!F11+'Повна собів'!F43+'Повна собів'!F77</f>
        <v>101.87150878818228</v>
      </c>
      <c r="K9" s="1253">
        <f t="shared" si="5"/>
        <v>0.74362451223994663</v>
      </c>
      <c r="L9" s="1254">
        <f t="shared" si="6"/>
        <v>25.341171340343848</v>
      </c>
      <c r="M9" s="1246">
        <f>'Повна собів'!G11+'Повна собів'!G43+'Повна собів'!G77</f>
        <v>7.8557631155065932</v>
      </c>
      <c r="N9" s="1253">
        <f t="shared" si="7"/>
        <v>0.74362451223994686</v>
      </c>
      <c r="O9" s="1252">
        <f t="shared" si="8"/>
        <v>25.341171340343848</v>
      </c>
    </row>
    <row r="10" spans="1:15" ht="14.25">
      <c r="A10" s="1242" t="s">
        <v>301</v>
      </c>
      <c r="B10" s="1250" t="s">
        <v>700</v>
      </c>
      <c r="C10" s="1244" t="s">
        <v>692</v>
      </c>
      <c r="D10" s="1245">
        <f t="shared" si="0"/>
        <v>4366.2530617727998</v>
      </c>
      <c r="E10" s="1251">
        <f t="shared" si="1"/>
        <v>13.326220689961159</v>
      </c>
      <c r="F10" s="1252">
        <f t="shared" si="2"/>
        <v>364.40102334942412</v>
      </c>
      <c r="G10" s="1245">
        <f>Прямі!D12+Прямі!D30+Прямі!D50</f>
        <v>2788.3966306697935</v>
      </c>
      <c r="H10" s="1251">
        <f t="shared" si="3"/>
        <v>15.483660418584181</v>
      </c>
      <c r="I10" s="1252">
        <f t="shared" si="4"/>
        <v>364.40102334942407</v>
      </c>
      <c r="J10" s="1246">
        <f>'Повна собів'!F12+'Повна собів'!F44+'Повна собів'!F78</f>
        <v>1464.8921138646849</v>
      </c>
      <c r="K10" s="1253">
        <f t="shared" si="5"/>
        <v>10.693173161121765</v>
      </c>
      <c r="L10" s="1254">
        <f t="shared" si="6"/>
        <v>364.40102334942407</v>
      </c>
      <c r="M10" s="1246">
        <f>'Повна собів'!G12+'Повна собів'!G44+'Повна собів'!G78</f>
        <v>112.96431723832148</v>
      </c>
      <c r="N10" s="1253">
        <f t="shared" si="7"/>
        <v>10.693173161121768</v>
      </c>
      <c r="O10" s="1252">
        <f t="shared" si="8"/>
        <v>364.40102334942412</v>
      </c>
    </row>
    <row r="11" spans="1:15" ht="14.25">
      <c r="A11" s="1242" t="s">
        <v>302</v>
      </c>
      <c r="B11" s="1250" t="s">
        <v>493</v>
      </c>
      <c r="C11" s="1244" t="s">
        <v>692</v>
      </c>
      <c r="D11" s="1245">
        <f t="shared" si="0"/>
        <v>2393.8369976288832</v>
      </c>
      <c r="E11" s="1251">
        <f t="shared" si="1"/>
        <v>7.3062187818413031</v>
      </c>
      <c r="F11" s="1252">
        <f t="shared" si="2"/>
        <v>199.78609561249232</v>
      </c>
      <c r="G11" s="1245">
        <f>'Повна собів'!E13+'Повна собів'!E45-'Повна собів'!E49+'Повна собів'!E79</f>
        <v>1889.1246532579355</v>
      </c>
      <c r="H11" s="1251">
        <f t="shared" si="3"/>
        <v>10.490101837626758</v>
      </c>
      <c r="I11" s="1252">
        <f t="shared" si="4"/>
        <v>246.87985536564756</v>
      </c>
      <c r="J11" s="1246">
        <f>'Повна собів'!F13+'Повна собів'!F45+'Повна собів'!F79-'Повна собів'!F49</f>
        <v>468.57820424277361</v>
      </c>
      <c r="K11" s="1253">
        <f t="shared" si="5"/>
        <v>3.4204483934837384</v>
      </c>
      <c r="L11" s="1254">
        <f t="shared" si="6"/>
        <v>116.56174234894864</v>
      </c>
      <c r="M11" s="1246">
        <f>'Повна собів'!G13+'Повна собів'!G45-'Повна собів'!G49+'Повна собів'!G79</f>
        <v>36.134140128174089</v>
      </c>
      <c r="N11" s="1253">
        <f t="shared" si="7"/>
        <v>3.4204483934837402</v>
      </c>
      <c r="O11" s="1252">
        <f t="shared" si="8"/>
        <v>116.56174234894868</v>
      </c>
    </row>
    <row r="12" spans="1:15" s="45" customFormat="1" ht="15">
      <c r="A12" s="1263" t="s">
        <v>296</v>
      </c>
      <c r="B12" s="780" t="s">
        <v>697</v>
      </c>
      <c r="C12" s="1255" t="s">
        <v>692</v>
      </c>
      <c r="D12" s="1259">
        <f t="shared" si="0"/>
        <v>1480.0125680539568</v>
      </c>
      <c r="E12" s="1260">
        <f t="shared" si="1"/>
        <v>4.5171394847634421</v>
      </c>
      <c r="F12" s="1256">
        <f t="shared" si="2"/>
        <v>123.51966016140516</v>
      </c>
      <c r="G12" s="1259">
        <f>'Повна собів'!E17+'Повна собів'!E50+'Повна собів'!E83</f>
        <v>945.1724395550724</v>
      </c>
      <c r="H12" s="1260">
        <f t="shared" si="3"/>
        <v>5.2484388089223</v>
      </c>
      <c r="I12" s="1256">
        <f t="shared" si="4"/>
        <v>123.51966016140517</v>
      </c>
      <c r="J12" s="1261">
        <f>'Повна собів'!F17+'Повна собів'!F50+'Повна собів'!F83</f>
        <v>496.54903384884881</v>
      </c>
      <c r="K12" s="1262">
        <f t="shared" si="5"/>
        <v>3.6246251527188704</v>
      </c>
      <c r="L12" s="1257">
        <f t="shared" si="6"/>
        <v>123.51966016140517</v>
      </c>
      <c r="M12" s="1261">
        <f>'Повна собів'!G17+'Повна собів'!G50+'Повна собів'!G83</f>
        <v>38.291094650035603</v>
      </c>
      <c r="N12" s="1262">
        <f t="shared" si="7"/>
        <v>3.6246251527188718</v>
      </c>
      <c r="O12" s="1256">
        <f t="shared" si="8"/>
        <v>123.51966016140517</v>
      </c>
    </row>
    <row r="13" spans="1:15" s="45" customFormat="1" ht="15">
      <c r="A13" s="1263">
        <v>2</v>
      </c>
      <c r="B13" s="780" t="s">
        <v>695</v>
      </c>
      <c r="C13" s="1255" t="s">
        <v>692</v>
      </c>
      <c r="D13" s="1259">
        <f t="shared" si="0"/>
        <v>1561.1907063133133</v>
      </c>
      <c r="E13" s="1260">
        <f t="shared" si="1"/>
        <v>4.7649029034978412</v>
      </c>
      <c r="F13" s="1256">
        <f t="shared" si="2"/>
        <v>130.29466752740055</v>
      </c>
      <c r="G13" s="1259">
        <f>'Повна собів'!E21+'Повна собів'!E54+'Повна собів'!E87</f>
        <v>997.01479591966904</v>
      </c>
      <c r="H13" s="1260">
        <f t="shared" si="3"/>
        <v>5.536313723279739</v>
      </c>
      <c r="I13" s="1256">
        <f t="shared" si="4"/>
        <v>130.29466752740052</v>
      </c>
      <c r="J13" s="1261">
        <f>'Повна собів'!F21+'Повна собів'!F54+'Повна собів'!F87</f>
        <v>523.78456346015025</v>
      </c>
      <c r="K13" s="1262">
        <f t="shared" si="5"/>
        <v>3.8234344926778183</v>
      </c>
      <c r="L13" s="1257">
        <f t="shared" si="6"/>
        <v>130.29466752740055</v>
      </c>
      <c r="M13" s="1261">
        <f>'Повна собів'!G21+'Повна собів'!G54+'Повна собів'!G87</f>
        <v>40.391346933494169</v>
      </c>
      <c r="N13" s="1262">
        <f t="shared" si="7"/>
        <v>3.8234344926778192</v>
      </c>
      <c r="O13" s="1256">
        <f t="shared" si="8"/>
        <v>130.29466752740055</v>
      </c>
    </row>
    <row r="14" spans="1:15" ht="14.25">
      <c r="A14" s="1242">
        <v>3</v>
      </c>
      <c r="B14" s="1250" t="s">
        <v>684</v>
      </c>
      <c r="C14" s="1244" t="s">
        <v>692</v>
      </c>
      <c r="D14" s="1245"/>
      <c r="E14" s="1251"/>
      <c r="F14" s="1245"/>
      <c r="G14" s="1245"/>
      <c r="H14" s="1251"/>
      <c r="I14" s="1252"/>
      <c r="J14" s="1246"/>
      <c r="K14" s="1253"/>
      <c r="L14" s="1246"/>
      <c r="M14" s="1246"/>
      <c r="N14" s="1247"/>
      <c r="O14" s="1252"/>
    </row>
    <row r="15" spans="1:15" ht="14.25">
      <c r="A15" s="1242">
        <v>4</v>
      </c>
      <c r="B15" s="1250" t="s">
        <v>685</v>
      </c>
      <c r="C15" s="1244" t="s">
        <v>692</v>
      </c>
      <c r="D15" s="1245"/>
      <c r="E15" s="1251"/>
      <c r="F15" s="1245"/>
      <c r="G15" s="1245"/>
      <c r="H15" s="1251"/>
      <c r="I15" s="1252"/>
      <c r="J15" s="1246"/>
      <c r="K15" s="1253"/>
      <c r="L15" s="1246"/>
      <c r="M15" s="1246"/>
      <c r="N15" s="1247"/>
      <c r="O15" s="1252"/>
    </row>
    <row r="16" spans="1:15" ht="14.25">
      <c r="A16" s="1242">
        <v>5</v>
      </c>
      <c r="B16" s="1250" t="s">
        <v>686</v>
      </c>
      <c r="C16" s="1244" t="s">
        <v>692</v>
      </c>
      <c r="D16" s="1245">
        <f>D4+D13</f>
        <v>32764.376062464304</v>
      </c>
      <c r="E16" s="1245"/>
      <c r="F16" s="1245"/>
      <c r="G16" s="1245">
        <f>G4+G13</f>
        <v>18008.63978728851</v>
      </c>
      <c r="H16" s="1245"/>
      <c r="I16" s="1245"/>
      <c r="J16" s="1245">
        <f>J4+J13</f>
        <v>13699.320976029259</v>
      </c>
      <c r="K16" s="1245"/>
      <c r="L16" s="1245"/>
      <c r="M16" s="1245">
        <f>M4+M13</f>
        <v>1056.4152991465346</v>
      </c>
      <c r="N16" s="1245"/>
      <c r="O16" s="1245"/>
    </row>
    <row r="17" spans="1:17" ht="14.25">
      <c r="A17" s="1242">
        <v>6</v>
      </c>
      <c r="B17" s="1250" t="s">
        <v>696</v>
      </c>
      <c r="C17" s="1244" t="s">
        <v>692</v>
      </c>
      <c r="D17" s="1245"/>
      <c r="E17" s="1251"/>
      <c r="F17" s="1245"/>
      <c r="G17" s="1245"/>
      <c r="H17" s="1251"/>
      <c r="I17" s="1252"/>
      <c r="J17" s="1246"/>
      <c r="K17" s="1253"/>
      <c r="L17" s="1246"/>
      <c r="M17" s="1246"/>
      <c r="N17" s="1247"/>
      <c r="O17" s="1252"/>
    </row>
    <row r="18" spans="1:17" s="45" customFormat="1" ht="15">
      <c r="A18" s="1263">
        <v>7</v>
      </c>
      <c r="B18" s="780" t="s">
        <v>687</v>
      </c>
      <c r="C18" s="1255" t="s">
        <v>692</v>
      </c>
      <c r="D18" s="1259">
        <f>D16+D17</f>
        <v>32764.376062464304</v>
      </c>
      <c r="E18" s="1260">
        <f>SUM(E6:E17)</f>
        <v>99.999999999999986</v>
      </c>
      <c r="F18" s="1259"/>
      <c r="G18" s="1259">
        <f>G16+G17</f>
        <v>18008.63978728851</v>
      </c>
      <c r="H18" s="1260">
        <f>SUM(H6:H17)</f>
        <v>100</v>
      </c>
      <c r="I18" s="1256"/>
      <c r="J18" s="1261">
        <f>J16+J17</f>
        <v>13699.320976029259</v>
      </c>
      <c r="K18" s="1262">
        <f>SUM(K6:K17)</f>
        <v>99.999999999999972</v>
      </c>
      <c r="L18" s="1261"/>
      <c r="M18" s="1261">
        <f>M16+M17</f>
        <v>1056.4152991465346</v>
      </c>
      <c r="N18" s="1262">
        <f>SUM(N6:N17)</f>
        <v>100.00000000000001</v>
      </c>
      <c r="O18" s="1256"/>
      <c r="Q18" s="45">
        <f>'Повна собів'!D28+'Повна собів'!D62-'Повна собів'!D49+'Повна собів'!D95</f>
        <v>32764.376062464307</v>
      </c>
    </row>
    <row r="19" spans="1:17" ht="14.25">
      <c r="A19" s="1242">
        <v>8</v>
      </c>
      <c r="B19" s="1250" t="s">
        <v>303</v>
      </c>
      <c r="C19" s="1244" t="s">
        <v>710</v>
      </c>
      <c r="D19" s="1251">
        <f>'Повна собів'!D64</f>
        <v>11982</v>
      </c>
      <c r="E19" s="1251"/>
      <c r="F19" s="1251"/>
      <c r="G19" s="1251">
        <f>'Повна собів'!E64</f>
        <v>7652</v>
      </c>
      <c r="H19" s="1251"/>
      <c r="I19" s="1251"/>
      <c r="J19" s="1253">
        <f>'Повна собів'!F64</f>
        <v>4020</v>
      </c>
      <c r="K19" s="1253"/>
      <c r="L19" s="1253"/>
      <c r="M19" s="1253">
        <f>'Повна собів'!G64</f>
        <v>310</v>
      </c>
      <c r="N19" s="1253"/>
      <c r="O19" s="1252"/>
    </row>
    <row r="20" spans="1:17" ht="14.25">
      <c r="A20" s="1242">
        <v>9</v>
      </c>
      <c r="B20" s="1250" t="s">
        <v>689</v>
      </c>
      <c r="C20" s="1244" t="s">
        <v>404</v>
      </c>
      <c r="D20" s="1252">
        <f>D18/D19*1000</f>
        <v>2734.4663714291692</v>
      </c>
      <c r="E20" s="1252"/>
      <c r="F20" s="1252">
        <f>SUM(F6:F18)</f>
        <v>2734.4663714291692</v>
      </c>
      <c r="G20" s="1252">
        <f>G18/G19*1000</f>
        <v>2353.4552780042482</v>
      </c>
      <c r="H20" s="1252"/>
      <c r="I20" s="1252">
        <f>SUM(I6:I18)</f>
        <v>2353.4552780042486</v>
      </c>
      <c r="J20" s="1254">
        <f>J18/J19*1000</f>
        <v>3407.7912875694674</v>
      </c>
      <c r="K20" s="1254"/>
      <c r="L20" s="1254">
        <f>SUM(L6:L18)</f>
        <v>3407.791287569466</v>
      </c>
      <c r="M20" s="1254">
        <f>M18/M19*1000</f>
        <v>3407.7912875694665</v>
      </c>
      <c r="N20" s="1247"/>
      <c r="O20" s="1252">
        <f>SUM(O6:O18)</f>
        <v>3407.7912875694669</v>
      </c>
    </row>
    <row r="22" spans="1:17">
      <c r="B22" s="517"/>
    </row>
    <row r="23" spans="1:17">
      <c r="D23" s="1429" t="s">
        <v>228</v>
      </c>
      <c r="E23" s="1429"/>
      <c r="F23" s="1429"/>
      <c r="G23" s="1429"/>
      <c r="H23" s="1429"/>
      <c r="I23" s="1429"/>
      <c r="J23" s="1429"/>
      <c r="K23" s="1429"/>
      <c r="L23" s="1429"/>
      <c r="M23" s="1429"/>
      <c r="N23" s="97"/>
      <c r="O23" s="97"/>
    </row>
    <row r="24" spans="1:17">
      <c r="B24" s="514"/>
      <c r="C24" s="1240"/>
      <c r="D24" s="1732" t="s">
        <v>229</v>
      </c>
      <c r="E24" s="1732"/>
      <c r="F24" s="1732"/>
      <c r="G24" s="1732"/>
      <c r="H24" s="1732"/>
      <c r="I24" s="1732"/>
      <c r="J24" s="1732"/>
      <c r="K24" s="1732"/>
      <c r="L24" s="1732"/>
      <c r="M24" s="1732"/>
    </row>
    <row r="25" spans="1:17">
      <c r="B25" s="514" t="s">
        <v>770</v>
      </c>
      <c r="C25" s="1240"/>
      <c r="D25" s="514"/>
      <c r="E25" s="514"/>
      <c r="F25" s="1733" t="s">
        <v>230</v>
      </c>
      <c r="G25" s="1733"/>
      <c r="H25" s="1733"/>
      <c r="I25" s="1733"/>
      <c r="J25" s="1733"/>
      <c r="K25" s="1733"/>
      <c r="L25" s="1733"/>
      <c r="M25" s="1733"/>
      <c r="N25" s="1733"/>
      <c r="O25" s="1733"/>
    </row>
  </sheetData>
  <mergeCells count="11">
    <mergeCell ref="B1:O1"/>
    <mergeCell ref="D2:F2"/>
    <mergeCell ref="G2:I2"/>
    <mergeCell ref="J2:L2"/>
    <mergeCell ref="M2:O2"/>
    <mergeCell ref="C2:C3"/>
    <mergeCell ref="B2:B3"/>
    <mergeCell ref="D23:M23"/>
    <mergeCell ref="D24:M24"/>
    <mergeCell ref="F25:O25"/>
    <mergeCell ref="A2:A3"/>
  </mergeCells>
  <phoneticPr fontId="51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N48"/>
  <sheetViews>
    <sheetView topLeftCell="B4" workbookViewId="0">
      <selection activeCell="E36" sqref="E36"/>
    </sheetView>
  </sheetViews>
  <sheetFormatPr defaultColWidth="58.7109375" defaultRowHeight="12.75"/>
  <cols>
    <col min="1" max="1" width="1.7109375" style="1122" hidden="1" customWidth="1"/>
    <col min="2" max="2" width="5.5703125" style="1122" customWidth="1"/>
    <col min="3" max="3" width="58.7109375" style="1122" customWidth="1"/>
    <col min="4" max="4" width="9.140625" style="1122" customWidth="1"/>
    <col min="5" max="5" width="11.28515625" style="1123" customWidth="1"/>
    <col min="6" max="6" width="10.140625" style="1123" customWidth="1"/>
    <col min="7" max="7" width="10.85546875" style="1123" customWidth="1"/>
    <col min="8" max="8" width="10.42578125" style="1123" customWidth="1"/>
    <col min="9" max="253" width="9.140625" customWidth="1"/>
    <col min="254" max="254" width="0" hidden="1" customWidth="1"/>
    <col min="255" max="255" width="5.5703125" customWidth="1"/>
  </cols>
  <sheetData>
    <row r="1" spans="2:12">
      <c r="H1" s="1124" t="s">
        <v>151</v>
      </c>
    </row>
    <row r="2" spans="2:12" ht="18" customHeight="1">
      <c r="B2" s="1422" t="s">
        <v>138</v>
      </c>
      <c r="C2" s="1422"/>
      <c r="D2" s="1422"/>
      <c r="E2" s="1422"/>
      <c r="F2" s="1422"/>
      <c r="G2" s="1422"/>
      <c r="H2" s="1422"/>
    </row>
    <row r="3" spans="2:12" ht="15.75">
      <c r="B3" s="1422" t="s">
        <v>263</v>
      </c>
      <c r="C3" s="1422"/>
      <c r="D3" s="1422"/>
      <c r="E3" s="1422"/>
      <c r="F3" s="1422"/>
      <c r="G3" s="1422"/>
      <c r="H3" s="1422"/>
    </row>
    <row r="4" spans="2:12">
      <c r="B4" s="1125"/>
      <c r="C4" s="1125"/>
      <c r="D4" s="1125"/>
      <c r="E4" s="1126"/>
      <c r="F4" s="1126"/>
      <c r="G4" s="1126"/>
      <c r="H4" s="1224" t="s">
        <v>272</v>
      </c>
    </row>
    <row r="5" spans="2:12" ht="22.5" customHeight="1">
      <c r="B5" s="1424" t="s">
        <v>438</v>
      </c>
      <c r="C5" s="1424" t="s">
        <v>92</v>
      </c>
      <c r="D5" s="1424" t="s">
        <v>440</v>
      </c>
      <c r="E5" s="1436" t="s">
        <v>994</v>
      </c>
      <c r="F5" s="1426" t="s">
        <v>94</v>
      </c>
      <c r="G5" s="1426"/>
      <c r="H5" s="1426"/>
    </row>
    <row r="6" spans="2:12" ht="30.75" customHeight="1">
      <c r="B6" s="1424"/>
      <c r="C6" s="1424"/>
      <c r="D6" s="1424"/>
      <c r="E6" s="1436"/>
      <c r="F6" s="1294" t="s">
        <v>698</v>
      </c>
      <c r="G6" s="1294" t="s">
        <v>139</v>
      </c>
      <c r="H6" s="1294" t="s">
        <v>499</v>
      </c>
    </row>
    <row r="7" spans="2:12" ht="15">
      <c r="B7" s="1089" t="s">
        <v>445</v>
      </c>
      <c r="C7" s="1089" t="s">
        <v>446</v>
      </c>
      <c r="D7" s="1089" t="s">
        <v>447</v>
      </c>
      <c r="E7" s="1090">
        <v>7</v>
      </c>
      <c r="F7" s="1090">
        <v>8</v>
      </c>
      <c r="G7" s="1090">
        <v>9</v>
      </c>
      <c r="H7" s="1090">
        <v>10</v>
      </c>
    </row>
    <row r="8" spans="2:12" ht="15">
      <c r="B8" s="1089" t="s">
        <v>445</v>
      </c>
      <c r="C8" s="1234" t="s">
        <v>95</v>
      </c>
      <c r="D8" s="1089" t="s">
        <v>723</v>
      </c>
      <c r="E8" s="1099">
        <f>E9+E10+E11+E15</f>
        <v>869.23924791922525</v>
      </c>
      <c r="F8" s="1099">
        <f>F9+F10+F11+F15</f>
        <v>555.11757011166014</v>
      </c>
      <c r="G8" s="1099">
        <f>G9+G10+G11+G15</f>
        <v>291.63259694836302</v>
      </c>
      <c r="H8" s="1099">
        <f>H9+H10+H11+H15</f>
        <v>22.489080859202126</v>
      </c>
      <c r="J8" s="1128"/>
      <c r="K8" s="15"/>
      <c r="L8" s="4"/>
    </row>
    <row r="9" spans="2:12" ht="15">
      <c r="B9" s="1089" t="s">
        <v>453</v>
      </c>
      <c r="C9" s="1235" t="s">
        <v>140</v>
      </c>
      <c r="D9" s="1089" t="s">
        <v>723</v>
      </c>
      <c r="E9" s="1092">
        <f>SUM(F9:H9)</f>
        <v>0</v>
      </c>
      <c r="F9" s="1092">
        <f>'Повна собів'!E77</f>
        <v>0</v>
      </c>
      <c r="G9" s="1092">
        <f>'Повна собів'!F77</f>
        <v>0</v>
      </c>
      <c r="H9" s="1092">
        <f>'Повна собів'!G77</f>
        <v>0</v>
      </c>
      <c r="J9" s="1128"/>
      <c r="K9" s="15"/>
      <c r="L9" s="4"/>
    </row>
    <row r="10" spans="2:12" ht="15">
      <c r="B10" s="1089" t="s">
        <v>455</v>
      </c>
      <c r="C10" s="1235" t="s">
        <v>141</v>
      </c>
      <c r="D10" s="1089" t="s">
        <v>723</v>
      </c>
      <c r="E10" s="1092">
        <f t="shared" ref="E10:E22" si="0">SUM(F10:H10)</f>
        <v>573.2880384</v>
      </c>
      <c r="F10" s="1092">
        <f>'Повна собів'!E78</f>
        <v>366.11584625578371</v>
      </c>
      <c r="G10" s="1092">
        <f>'Повна собів'!F78</f>
        <v>192.34000286830249</v>
      </c>
      <c r="H10" s="1092">
        <f>'Повна собів'!G78</f>
        <v>14.832189275913873</v>
      </c>
      <c r="J10" s="1128"/>
      <c r="K10" s="15"/>
      <c r="L10" s="4"/>
    </row>
    <row r="11" spans="2:12" ht="15">
      <c r="B11" s="1089" t="s">
        <v>106</v>
      </c>
      <c r="C11" s="1235" t="s">
        <v>142</v>
      </c>
      <c r="D11" s="1089" t="s">
        <v>723</v>
      </c>
      <c r="E11" s="1092">
        <f t="shared" si="0"/>
        <v>126.12336844800001</v>
      </c>
      <c r="F11" s="1092">
        <f>'Повна собів'!E79</f>
        <v>80.545486176272419</v>
      </c>
      <c r="G11" s="1092">
        <f>'Повна собів'!F79</f>
        <v>42.314800631026543</v>
      </c>
      <c r="H11" s="1092">
        <f>'Повна собів'!G79</f>
        <v>3.2630816407010519</v>
      </c>
      <c r="J11" s="1128"/>
      <c r="K11" s="15"/>
      <c r="L11" s="4"/>
    </row>
    <row r="12" spans="2:12" ht="15" customHeight="1">
      <c r="B12" s="1089" t="s">
        <v>143</v>
      </c>
      <c r="C12" s="1295" t="s">
        <v>765</v>
      </c>
      <c r="D12" s="1089" t="s">
        <v>723</v>
      </c>
      <c r="E12" s="1092">
        <f t="shared" si="0"/>
        <v>126.12336844800001</v>
      </c>
      <c r="F12" s="1092">
        <f>'Повна собів'!E80</f>
        <v>80.545486176272419</v>
      </c>
      <c r="G12" s="1092">
        <f>'Повна собів'!F80</f>
        <v>42.314800631026543</v>
      </c>
      <c r="H12" s="1092">
        <f>'Повна собів'!G80</f>
        <v>3.2630816407010519</v>
      </c>
      <c r="J12" s="1128"/>
      <c r="K12" s="15"/>
      <c r="L12" s="4"/>
    </row>
    <row r="13" spans="2:12" ht="15" customHeight="1">
      <c r="B13" s="1089" t="s">
        <v>109</v>
      </c>
      <c r="C13" s="1295" t="s">
        <v>144</v>
      </c>
      <c r="D13" s="1089" t="s">
        <v>723</v>
      </c>
      <c r="E13" s="1092">
        <f t="shared" si="0"/>
        <v>0</v>
      </c>
      <c r="F13" s="1092">
        <f>'Повна собів'!E81</f>
        <v>0</v>
      </c>
      <c r="G13" s="1092">
        <f>'Повна собів'!F81</f>
        <v>0</v>
      </c>
      <c r="H13" s="1092">
        <f>'Повна собів'!G81</f>
        <v>0</v>
      </c>
      <c r="J13" s="1128"/>
      <c r="K13" s="15"/>
      <c r="L13" s="4"/>
    </row>
    <row r="14" spans="2:12" ht="15" customHeight="1">
      <c r="B14" s="1089" t="s">
        <v>111</v>
      </c>
      <c r="C14" s="1295" t="s">
        <v>112</v>
      </c>
      <c r="D14" s="1089" t="s">
        <v>723</v>
      </c>
      <c r="E14" s="1092">
        <f t="shared" si="0"/>
        <v>0</v>
      </c>
      <c r="F14" s="1092">
        <f>'Повна собів'!E82</f>
        <v>0</v>
      </c>
      <c r="G14" s="1092">
        <f>'Повна собів'!F82</f>
        <v>0</v>
      </c>
      <c r="H14" s="1092">
        <f>'Повна собів'!G82</f>
        <v>0</v>
      </c>
      <c r="J14" s="1128"/>
      <c r="K14" s="15"/>
      <c r="L14" s="4"/>
    </row>
    <row r="15" spans="2:12" ht="15">
      <c r="B15" s="1089" t="s">
        <v>113</v>
      </c>
      <c r="C15" s="1234" t="s">
        <v>145</v>
      </c>
      <c r="D15" s="1089" t="s">
        <v>723</v>
      </c>
      <c r="E15" s="1099">
        <f t="shared" si="0"/>
        <v>169.82784107122521</v>
      </c>
      <c r="F15" s="1099">
        <f>'Повна собів'!E83</f>
        <v>108.456237679604</v>
      </c>
      <c r="G15" s="1099">
        <f>'Повна собів'!F83</f>
        <v>56.977793449033989</v>
      </c>
      <c r="H15" s="1099">
        <f>'Повна собів'!G83</f>
        <v>4.3938099425871986</v>
      </c>
      <c r="J15" s="1128"/>
      <c r="K15" s="15"/>
      <c r="L15" s="4"/>
    </row>
    <row r="16" spans="2:12" ht="15" customHeight="1">
      <c r="B16" s="1089" t="s">
        <v>114</v>
      </c>
      <c r="C16" s="1235" t="s">
        <v>766</v>
      </c>
      <c r="D16" s="1089" t="s">
        <v>723</v>
      </c>
      <c r="E16" s="1092">
        <f t="shared" si="0"/>
        <v>134.81879596588695</v>
      </c>
      <c r="F16" s="1092">
        <f>'Повна собів'!E84</f>
        <v>86.098600127772244</v>
      </c>
      <c r="G16" s="1092">
        <f>'Повна собів'!F84</f>
        <v>45.232144865870943</v>
      </c>
      <c r="H16" s="1092">
        <f>'Повна собів'!G84</f>
        <v>3.4880509722437791</v>
      </c>
      <c r="J16" s="1128"/>
      <c r="K16" s="15"/>
      <c r="L16" s="4"/>
    </row>
    <row r="17" spans="2:14" ht="14.25" customHeight="1">
      <c r="B17" s="1089" t="s">
        <v>115</v>
      </c>
      <c r="C17" s="1235" t="s">
        <v>765</v>
      </c>
      <c r="D17" s="1089" t="s">
        <v>723</v>
      </c>
      <c r="E17" s="1092">
        <f t="shared" si="0"/>
        <v>29.660135112495134</v>
      </c>
      <c r="F17" s="1092">
        <f>'Повна собів'!E85</f>
        <v>18.941692028109895</v>
      </c>
      <c r="G17" s="1092">
        <f>'Повна собів'!F85</f>
        <v>9.9510718704916066</v>
      </c>
      <c r="H17" s="1092">
        <f>'Повна собів'!G85</f>
        <v>0.76737121389363139</v>
      </c>
      <c r="J17" s="1128"/>
      <c r="K17" s="15"/>
      <c r="L17" s="4"/>
    </row>
    <row r="18" spans="2:14" ht="15" customHeight="1">
      <c r="B18" s="1089" t="s">
        <v>116</v>
      </c>
      <c r="C18" s="1235" t="s">
        <v>767</v>
      </c>
      <c r="D18" s="1089" t="s">
        <v>723</v>
      </c>
      <c r="E18" s="1092">
        <f t="shared" si="0"/>
        <v>5.3489099928430797</v>
      </c>
      <c r="F18" s="1092">
        <f>'Повна собів'!E86</f>
        <v>3.4159455237218532</v>
      </c>
      <c r="G18" s="1092">
        <f>'Повна собів'!F86</f>
        <v>1.7945767126714387</v>
      </c>
      <c r="H18" s="1092">
        <f>'Повна собів'!G86</f>
        <v>0.13838775644978757</v>
      </c>
      <c r="J18" s="1128"/>
      <c r="K18" s="15"/>
      <c r="L18" s="4"/>
    </row>
    <row r="19" spans="2:14" ht="15">
      <c r="B19" s="1089" t="s">
        <v>446</v>
      </c>
      <c r="C19" s="1234" t="s">
        <v>117</v>
      </c>
      <c r="D19" s="1089" t="s">
        <v>723</v>
      </c>
      <c r="E19" s="1099">
        <f t="shared" si="0"/>
        <v>162.38917259965947</v>
      </c>
      <c r="F19" s="1099">
        <f>'Повна собів'!E87</f>
        <v>103.70572097584662</v>
      </c>
      <c r="G19" s="1099">
        <f>'Повна собів'!F87</f>
        <v>54.482095964833171</v>
      </c>
      <c r="H19" s="1099">
        <f>'Повна собів'!G87</f>
        <v>4.2013556589796721</v>
      </c>
      <c r="J19" s="1128"/>
      <c r="K19" s="15"/>
      <c r="L19" s="4"/>
    </row>
    <row r="20" spans="2:14" ht="15">
      <c r="B20" s="1089" t="s">
        <v>457</v>
      </c>
      <c r="C20" s="1235" t="s">
        <v>766</v>
      </c>
      <c r="D20" s="1089" t="s">
        <v>723</v>
      </c>
      <c r="E20" s="1092">
        <f t="shared" si="0"/>
        <v>153.08879231093619</v>
      </c>
      <c r="F20" s="1092">
        <f>'Повна собів'!E88</f>
        <v>97.766269300891651</v>
      </c>
      <c r="G20" s="1092">
        <f>'Повна собів'!F88</f>
        <v>51.361788106323111</v>
      </c>
      <c r="H20" s="1092">
        <f>'Повна собів'!G88</f>
        <v>3.9607349037214341</v>
      </c>
      <c r="J20" s="1128"/>
      <c r="K20" s="15"/>
      <c r="L20" s="4"/>
    </row>
    <row r="21" spans="2:14" ht="15">
      <c r="B21" s="1089" t="s">
        <v>459</v>
      </c>
      <c r="C21" s="1235" t="s">
        <v>765</v>
      </c>
      <c r="D21" s="1089" t="s">
        <v>723</v>
      </c>
      <c r="E21" s="1092">
        <f t="shared" si="0"/>
        <v>4.4626436376719463</v>
      </c>
      <c r="F21" s="1092">
        <f>'Повна собів'!E89</f>
        <v>2.8499540239914647</v>
      </c>
      <c r="G21" s="1092">
        <f>'Повна собів'!F89</f>
        <v>1.4972314658188302</v>
      </c>
      <c r="H21" s="1092">
        <f>'Повна собів'!G89</f>
        <v>0.11545814786165108</v>
      </c>
      <c r="J21" s="1128"/>
      <c r="K21" s="15"/>
      <c r="L21" s="4"/>
      <c r="N21" s="15"/>
    </row>
    <row r="22" spans="2:14" ht="15">
      <c r="B22" s="1089" t="s">
        <v>118</v>
      </c>
      <c r="C22" s="1235" t="s">
        <v>767</v>
      </c>
      <c r="D22" s="1089" t="s">
        <v>723</v>
      </c>
      <c r="E22" s="1092">
        <f t="shared" si="0"/>
        <v>4.8377366510512916</v>
      </c>
      <c r="F22" s="1092">
        <f>'Повна собів'!E90</f>
        <v>3.0894976509634855</v>
      </c>
      <c r="G22" s="1092">
        <f>'Повна собів'!F90</f>
        <v>1.6230763926912195</v>
      </c>
      <c r="H22" s="1092">
        <f>'Повна собів'!G90</f>
        <v>0.12516260739658658</v>
      </c>
      <c r="J22" s="1128"/>
      <c r="K22" s="15"/>
      <c r="L22" s="4"/>
      <c r="M22" s="4"/>
    </row>
    <row r="23" spans="2:14" ht="15">
      <c r="B23" s="1089" t="s">
        <v>447</v>
      </c>
      <c r="C23" s="1234" t="s">
        <v>119</v>
      </c>
      <c r="D23" s="1089" t="s">
        <v>723</v>
      </c>
      <c r="E23" s="1229">
        <v>0</v>
      </c>
      <c r="F23" s="1229">
        <f>F24+F25+F26</f>
        <v>0</v>
      </c>
      <c r="G23" s="1229">
        <f>G24+G25+G26</f>
        <v>0</v>
      </c>
      <c r="H23" s="1229">
        <f>H24+H25+H26</f>
        <v>0</v>
      </c>
      <c r="J23" s="1128"/>
      <c r="K23" s="15"/>
      <c r="L23" s="4"/>
    </row>
    <row r="24" spans="2:14" ht="15">
      <c r="B24" s="1089" t="s">
        <v>460</v>
      </c>
      <c r="C24" s="1235" t="s">
        <v>766</v>
      </c>
      <c r="D24" s="1089" t="s">
        <v>723</v>
      </c>
      <c r="E24" s="1230">
        <v>0</v>
      </c>
      <c r="F24" s="1230">
        <f>E24/$E$40*$F$40</f>
        <v>0</v>
      </c>
      <c r="G24" s="1230">
        <f>E24/$E$40*$G$40</f>
        <v>0</v>
      </c>
      <c r="H24" s="1230">
        <f>E24-F24-G24</f>
        <v>0</v>
      </c>
      <c r="J24" s="1128"/>
      <c r="K24" s="15"/>
      <c r="L24" s="4"/>
    </row>
    <row r="25" spans="2:14" ht="15">
      <c r="B25" s="1089" t="s">
        <v>462</v>
      </c>
      <c r="C25" s="1235" t="s">
        <v>765</v>
      </c>
      <c r="D25" s="1089" t="s">
        <v>723</v>
      </c>
      <c r="E25" s="1230">
        <v>0</v>
      </c>
      <c r="F25" s="1230">
        <f>E25/$E$40*$F$40</f>
        <v>0</v>
      </c>
      <c r="G25" s="1230">
        <f>E25/$E$40*$G$40</f>
        <v>0</v>
      </c>
      <c r="H25" s="1230">
        <f>E25-F25-G25</f>
        <v>0</v>
      </c>
      <c r="J25" s="1128"/>
      <c r="K25" s="15"/>
      <c r="L25" s="4"/>
    </row>
    <row r="26" spans="2:14" ht="15">
      <c r="B26" s="1089" t="s">
        <v>120</v>
      </c>
      <c r="C26" s="1235" t="s">
        <v>56</v>
      </c>
      <c r="D26" s="1089" t="s">
        <v>723</v>
      </c>
      <c r="E26" s="1230">
        <v>0</v>
      </c>
      <c r="F26" s="1230">
        <f>E26/$E$40*$F$40</f>
        <v>0</v>
      </c>
      <c r="G26" s="1230">
        <f>E26/$E$40*$G$40</f>
        <v>0</v>
      </c>
      <c r="H26" s="1230">
        <f>E26-F26-G26</f>
        <v>0</v>
      </c>
      <c r="J26" s="1128"/>
      <c r="K26" s="15"/>
      <c r="L26" s="4"/>
    </row>
    <row r="27" spans="2:14" ht="15">
      <c r="B27" s="1089" t="s">
        <v>448</v>
      </c>
      <c r="C27" s="1234" t="s">
        <v>267</v>
      </c>
      <c r="D27" s="1089" t="s">
        <v>723</v>
      </c>
      <c r="E27" s="1230">
        <v>0</v>
      </c>
      <c r="F27" s="1230">
        <f>E27/$E$40*$F$40</f>
        <v>0</v>
      </c>
      <c r="G27" s="1230">
        <f>E27/$E$40*$G$40</f>
        <v>0</v>
      </c>
      <c r="H27" s="1230">
        <f>E27-F27-G27</f>
        <v>0</v>
      </c>
      <c r="J27" s="1128"/>
      <c r="K27" s="15"/>
      <c r="L27" s="4"/>
    </row>
    <row r="28" spans="2:14" ht="15">
      <c r="B28" s="1089" t="s">
        <v>449</v>
      </c>
      <c r="C28" s="1234" t="s">
        <v>121</v>
      </c>
      <c r="D28" s="1089" t="s">
        <v>723</v>
      </c>
      <c r="E28" s="1230">
        <v>0</v>
      </c>
      <c r="F28" s="1230">
        <f>E28/$E$40*$F$40</f>
        <v>0</v>
      </c>
      <c r="G28" s="1230">
        <f>E28/$E$40*$G$40</f>
        <v>0</v>
      </c>
      <c r="H28" s="1230">
        <f>E28-F28-G28</f>
        <v>0</v>
      </c>
      <c r="J28" s="1128"/>
      <c r="K28" s="15"/>
      <c r="L28" s="4"/>
    </row>
    <row r="29" spans="2:14" ht="15">
      <c r="B29" s="1089" t="s">
        <v>450</v>
      </c>
      <c r="C29" s="1234" t="s">
        <v>266</v>
      </c>
      <c r="D29" s="1089" t="s">
        <v>723</v>
      </c>
      <c r="E29" s="1099">
        <f>E8+E19+E23+E27+E28</f>
        <v>1031.6284205188847</v>
      </c>
      <c r="F29" s="1099">
        <f>F8+F19+F23+F27+F28</f>
        <v>658.82329108750673</v>
      </c>
      <c r="G29" s="1099">
        <f>G8+G19+G23+G27+G28</f>
        <v>346.11469291319617</v>
      </c>
      <c r="H29" s="1099">
        <f>H8+H19+H23+H27+H28</f>
        <v>26.690436518181798</v>
      </c>
      <c r="I29" s="15"/>
      <c r="J29" s="1128"/>
      <c r="K29" s="15"/>
      <c r="L29" s="4"/>
    </row>
    <row r="30" spans="2:14" ht="15">
      <c r="B30" s="1089">
        <v>7</v>
      </c>
      <c r="C30" s="1296" t="s">
        <v>122</v>
      </c>
      <c r="D30" s="1090" t="s">
        <v>723</v>
      </c>
      <c r="E30" s="1129">
        <v>0</v>
      </c>
      <c r="F30" s="1129">
        <v>0</v>
      </c>
      <c r="G30" s="1129">
        <v>0</v>
      </c>
      <c r="H30" s="1129">
        <v>0</v>
      </c>
      <c r="I30" s="15"/>
      <c r="J30" s="1128"/>
      <c r="K30" s="15"/>
      <c r="L30" s="4"/>
    </row>
    <row r="31" spans="2:14" ht="15">
      <c r="B31" s="1089">
        <v>8</v>
      </c>
      <c r="C31" s="1296" t="s">
        <v>269</v>
      </c>
      <c r="D31" s="1089" t="s">
        <v>723</v>
      </c>
      <c r="E31" s="1105">
        <f>SUM(E32:E36)</f>
        <v>50.310454811864972</v>
      </c>
      <c r="F31" s="1105">
        <f>SUM(F32:F36)</f>
        <v>32.129494259755532</v>
      </c>
      <c r="G31" s="1105">
        <f>SUM(G32:G36)</f>
        <v>16.879321343990753</v>
      </c>
      <c r="H31" s="1105">
        <f>SUM(H32:H36)</f>
        <v>1.30163920811869</v>
      </c>
      <c r="J31" s="1128"/>
      <c r="K31" s="15"/>
      <c r="L31" s="4"/>
    </row>
    <row r="32" spans="2:14" ht="15">
      <c r="B32" s="1106" t="s">
        <v>68</v>
      </c>
      <c r="C32" s="1297" t="s">
        <v>69</v>
      </c>
      <c r="D32" s="1089" t="s">
        <v>123</v>
      </c>
      <c r="E32" s="1109">
        <f>SUM(F32:H32)</f>
        <v>9.0453179911095827</v>
      </c>
      <c r="F32" s="1109">
        <f>(F35+F36)*0.2192</f>
        <v>5.7765626162552595</v>
      </c>
      <c r="G32" s="1109">
        <f>(G35+G36)*0.2192</f>
        <v>3.0347336274629044</v>
      </c>
      <c r="H32" s="1109">
        <f>(H35+H36)*0.2192</f>
        <v>0.23402174739141801</v>
      </c>
      <c r="J32" s="1128"/>
      <c r="K32" s="15"/>
      <c r="L32" s="4"/>
    </row>
    <row r="33" spans="2:11" ht="15">
      <c r="B33" s="1106" t="s">
        <v>70</v>
      </c>
      <c r="C33" s="1297" t="s">
        <v>71</v>
      </c>
      <c r="D33" s="1089" t="s">
        <v>123</v>
      </c>
      <c r="E33" s="1109">
        <f>SUM(F33:H33)</f>
        <v>0</v>
      </c>
      <c r="F33" s="1109">
        <v>0</v>
      </c>
      <c r="G33" s="1109">
        <v>0</v>
      </c>
      <c r="H33" s="1109">
        <v>0</v>
      </c>
      <c r="J33" s="1128"/>
      <c r="K33" s="15"/>
    </row>
    <row r="34" spans="2:11" ht="15">
      <c r="B34" s="1106" t="s">
        <v>72</v>
      </c>
      <c r="C34" s="1297" t="s">
        <v>73</v>
      </c>
      <c r="D34" s="1089" t="s">
        <v>123</v>
      </c>
      <c r="E34" s="1109">
        <f>SUM(F34:H34)</f>
        <v>0</v>
      </c>
      <c r="F34" s="1109">
        <v>0</v>
      </c>
      <c r="G34" s="1109">
        <v>0</v>
      </c>
      <c r="H34" s="1109">
        <v>0</v>
      </c>
      <c r="J34" s="1128"/>
      <c r="K34" s="15"/>
    </row>
    <row r="35" spans="2:11" ht="15">
      <c r="B35" s="1106" t="s">
        <v>74</v>
      </c>
      <c r="C35" s="1297" t="s">
        <v>146</v>
      </c>
      <c r="D35" s="1089" t="s">
        <v>123</v>
      </c>
      <c r="E35" s="1109">
        <f>SUM(F35:H35)</f>
        <v>0</v>
      </c>
      <c r="F35" s="1109">
        <v>0</v>
      </c>
      <c r="G35" s="1109">
        <v>0</v>
      </c>
      <c r="H35" s="1109">
        <v>0</v>
      </c>
      <c r="J35" s="1128"/>
      <c r="K35" s="15"/>
    </row>
    <row r="36" spans="2:11" ht="15">
      <c r="B36" s="1106" t="s">
        <v>76</v>
      </c>
      <c r="C36" s="1297" t="s">
        <v>147</v>
      </c>
      <c r="D36" s="1089" t="s">
        <v>723</v>
      </c>
      <c r="E36" s="1109">
        <f>SUM(F36:H36)</f>
        <v>41.265136820755387</v>
      </c>
      <c r="F36" s="1109">
        <f>F29*0.04</f>
        <v>26.35293164350027</v>
      </c>
      <c r="G36" s="1109">
        <f>G29*0.04</f>
        <v>13.844587716527847</v>
      </c>
      <c r="H36" s="1109">
        <f>H29*0.04</f>
        <v>1.0676174607272719</v>
      </c>
      <c r="J36" s="1128"/>
      <c r="K36" s="15"/>
    </row>
    <row r="37" spans="2:11" ht="15">
      <c r="B37" s="1106" t="s">
        <v>78</v>
      </c>
      <c r="C37" s="1235" t="s">
        <v>79</v>
      </c>
      <c r="D37" s="1089" t="s">
        <v>492</v>
      </c>
      <c r="E37" s="1109">
        <f>E31/E29*100</f>
        <v>4.8768000000000002</v>
      </c>
      <c r="F37" s="1109">
        <f>F31/F29*100</f>
        <v>4.8768000000000002</v>
      </c>
      <c r="G37" s="1109">
        <f>G31/G29*100</f>
        <v>4.8768000000000002</v>
      </c>
      <c r="H37" s="1109">
        <f>H31/H29*100</f>
        <v>4.8768000000000002</v>
      </c>
      <c r="I37" s="4"/>
      <c r="J37" s="1128"/>
      <c r="K37" s="15"/>
    </row>
    <row r="38" spans="2:11" ht="15.75" customHeight="1">
      <c r="B38" s="1090">
        <v>9</v>
      </c>
      <c r="C38" s="1234" t="s">
        <v>148</v>
      </c>
      <c r="D38" s="1089" t="s">
        <v>723</v>
      </c>
      <c r="E38" s="1130">
        <f>E29+E31</f>
        <v>1081.9388753307496</v>
      </c>
      <c r="F38" s="1099">
        <f>F29+F31</f>
        <v>690.95278534726231</v>
      </c>
      <c r="G38" s="1099">
        <f>G29+G31</f>
        <v>362.9940142571869</v>
      </c>
      <c r="H38" s="1099">
        <f>H29+H31</f>
        <v>27.992075726300488</v>
      </c>
      <c r="J38" s="1128"/>
      <c r="K38" s="15"/>
    </row>
    <row r="39" spans="2:11" ht="15" customHeight="1">
      <c r="B39" s="1089">
        <v>10</v>
      </c>
      <c r="C39" s="1234" t="s">
        <v>149</v>
      </c>
      <c r="D39" s="1089" t="s">
        <v>452</v>
      </c>
      <c r="E39" s="1113">
        <f>E38/E40*1000</f>
        <v>90.297018471937037</v>
      </c>
      <c r="F39" s="1113">
        <f>F38/F40*1000</f>
        <v>90.297018471937051</v>
      </c>
      <c r="G39" s="1113">
        <f>G38/G40*1000</f>
        <v>90.297018471937037</v>
      </c>
      <c r="H39" s="1113">
        <f>H38/H40*1000</f>
        <v>90.297018471937051</v>
      </c>
    </row>
    <row r="40" spans="2:11" ht="15">
      <c r="B40" s="1090" t="s">
        <v>32</v>
      </c>
      <c r="C40" s="1234" t="s">
        <v>150</v>
      </c>
      <c r="D40" s="1089" t="s">
        <v>732</v>
      </c>
      <c r="E40" s="1099">
        <f>SUM(F40:H40)</f>
        <v>11982</v>
      </c>
      <c r="F40" s="1228">
        <v>7652</v>
      </c>
      <c r="G40" s="1228">
        <v>4020</v>
      </c>
      <c r="H40" s="1228">
        <v>310</v>
      </c>
    </row>
    <row r="41" spans="2:11" ht="15">
      <c r="B41" s="1131"/>
      <c r="C41" s="1132"/>
      <c r="D41" s="1133"/>
      <c r="E41" s="1133"/>
      <c r="F41" s="1133"/>
      <c r="G41" s="1133"/>
      <c r="H41" s="1133"/>
    </row>
    <row r="42" spans="2:11" ht="15">
      <c r="B42" s="1083"/>
      <c r="C42" s="1083"/>
      <c r="D42" s="1083"/>
      <c r="E42" s="1134"/>
      <c r="F42" s="1134"/>
      <c r="G42" s="1134"/>
      <c r="H42" s="1134"/>
    </row>
    <row r="43" spans="2:11" ht="15">
      <c r="B43" s="1083"/>
      <c r="C43" s="1083" t="s">
        <v>368</v>
      </c>
      <c r="D43" s="1083"/>
      <c r="E43" s="1134"/>
      <c r="F43" s="1134"/>
      <c r="G43" s="1429" t="s">
        <v>369</v>
      </c>
      <c r="H43" s="1429"/>
    </row>
    <row r="44" spans="2:11" ht="15">
      <c r="B44" s="1083"/>
      <c r="C44" s="1117"/>
      <c r="D44" s="1117"/>
      <c r="E44" s="1134"/>
      <c r="F44" s="1134"/>
      <c r="G44" s="1134"/>
      <c r="H44" s="1134"/>
    </row>
    <row r="45" spans="2:11" ht="15">
      <c r="D45" s="1083"/>
    </row>
    <row r="46" spans="2:11">
      <c r="E46" s="1135"/>
      <c r="F46" s="1135"/>
      <c r="G46" s="1135"/>
      <c r="H46" s="1135"/>
    </row>
    <row r="47" spans="2:11">
      <c r="E47" s="1136"/>
      <c r="F47" s="1136"/>
      <c r="G47" s="1136"/>
      <c r="H47" s="1136"/>
    </row>
    <row r="48" spans="2:11">
      <c r="F48" s="1135"/>
      <c r="G48" s="1135"/>
      <c r="H48" s="1135"/>
    </row>
  </sheetData>
  <mergeCells count="8">
    <mergeCell ref="G43:H43"/>
    <mergeCell ref="B2:H2"/>
    <mergeCell ref="B3:H3"/>
    <mergeCell ref="B5:B6"/>
    <mergeCell ref="C5:C6"/>
    <mergeCell ref="D5:D6"/>
    <mergeCell ref="E5:E6"/>
    <mergeCell ref="F5:H5"/>
  </mergeCells>
  <phoneticPr fontId="51" type="noConversion"/>
  <pageMargins left="0.35433070866141736" right="0.35433070866141736" top="0" bottom="0" header="0.51181102362204722" footer="0.51181102362204722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Q57"/>
  <sheetViews>
    <sheetView topLeftCell="B25" workbookViewId="0">
      <selection activeCell="E41" sqref="E41"/>
    </sheetView>
  </sheetViews>
  <sheetFormatPr defaultRowHeight="15"/>
  <cols>
    <col min="1" max="1" width="2" style="1082" hidden="1" customWidth="1"/>
    <col min="2" max="2" width="7.28515625" style="1083" customWidth="1"/>
    <col min="3" max="3" width="66.5703125" style="1083" customWidth="1"/>
    <col min="4" max="4" width="10.28515625" style="1083" customWidth="1"/>
    <col min="5" max="6" width="11.28515625" style="1084" customWidth="1"/>
    <col min="7" max="7" width="10.140625" style="1084" customWidth="1"/>
    <col min="8" max="8" width="11.85546875" style="1084" customWidth="1"/>
    <col min="10" max="10" width="11.5703125" customWidth="1"/>
    <col min="17" max="17" width="10.140625" customWidth="1"/>
  </cols>
  <sheetData>
    <row r="1" spans="1:13">
      <c r="G1" s="1438" t="s">
        <v>187</v>
      </c>
      <c r="H1" s="1438"/>
    </row>
    <row r="2" spans="1:13" s="662" customFormat="1" ht="15.75">
      <c r="A2" s="1085"/>
      <c r="B2" s="1440" t="s">
        <v>91</v>
      </c>
      <c r="C2" s="1440"/>
      <c r="D2" s="1440"/>
      <c r="E2" s="1440"/>
      <c r="F2" s="1440"/>
      <c r="G2" s="1440"/>
      <c r="H2" s="1440"/>
      <c r="I2" s="1086"/>
    </row>
    <row r="3" spans="1:13" s="662" customFormat="1" ht="15.75" customHeight="1">
      <c r="A3" s="1085"/>
      <c r="B3" s="1441" t="s">
        <v>263</v>
      </c>
      <c r="C3" s="1441"/>
      <c r="D3" s="1441"/>
      <c r="E3" s="1441"/>
      <c r="F3" s="1441"/>
      <c r="G3" s="1441"/>
      <c r="H3" s="1441"/>
    </row>
    <row r="4" spans="1:13">
      <c r="B4" s="1087"/>
      <c r="C4" s="1087"/>
      <c r="D4" s="1087"/>
      <c r="G4" s="1442" t="s">
        <v>273</v>
      </c>
      <c r="H4" s="1442"/>
    </row>
    <row r="5" spans="1:13" ht="33.75" customHeight="1">
      <c r="B5" s="1426" t="s">
        <v>30</v>
      </c>
      <c r="C5" s="1426" t="s">
        <v>92</v>
      </c>
      <c r="D5" s="1426" t="s">
        <v>93</v>
      </c>
      <c r="E5" s="1437" t="s">
        <v>994</v>
      </c>
      <c r="F5" s="1426" t="s">
        <v>94</v>
      </c>
      <c r="G5" s="1426"/>
      <c r="H5" s="1426"/>
    </row>
    <row r="6" spans="1:13" ht="29.25" customHeight="1">
      <c r="B6" s="1426"/>
      <c r="C6" s="1426"/>
      <c r="D6" s="1426"/>
      <c r="E6" s="1437"/>
      <c r="F6" s="1302" t="s">
        <v>698</v>
      </c>
      <c r="G6" s="1303" t="s">
        <v>495</v>
      </c>
      <c r="H6" s="1303" t="s">
        <v>499</v>
      </c>
      <c r="L6" s="1088"/>
      <c r="M6" s="1088"/>
    </row>
    <row r="7" spans="1:13">
      <c r="B7" s="1090" t="s">
        <v>445</v>
      </c>
      <c r="C7" s="1090" t="s">
        <v>446</v>
      </c>
      <c r="D7" s="1090" t="s">
        <v>447</v>
      </c>
      <c r="E7" s="1090">
        <v>7</v>
      </c>
      <c r="F7" s="1090">
        <v>8</v>
      </c>
      <c r="G7" s="1089">
        <v>9</v>
      </c>
      <c r="H7" s="1090">
        <v>10</v>
      </c>
    </row>
    <row r="8" spans="1:13">
      <c r="B8" s="1219" t="s">
        <v>445</v>
      </c>
      <c r="C8" s="1296" t="s">
        <v>95</v>
      </c>
      <c r="D8" s="1090" t="s">
        <v>723</v>
      </c>
      <c r="E8" s="1099">
        <f>E9+E14+E15</f>
        <v>6615.3912165573984</v>
      </c>
      <c r="F8" s="1221">
        <f>F9+F14+F15</f>
        <v>4224.7515931478229</v>
      </c>
      <c r="G8" s="1221">
        <f>G9+G14+G15</f>
        <v>2219.4852854749411</v>
      </c>
      <c r="H8" s="1221">
        <f>H9+H14+H15</f>
        <v>171.15433793463475</v>
      </c>
      <c r="I8" s="4"/>
      <c r="J8" s="4"/>
      <c r="M8" s="1095"/>
    </row>
    <row r="9" spans="1:13">
      <c r="B9" s="1219" t="s">
        <v>453</v>
      </c>
      <c r="C9" s="1304" t="s">
        <v>96</v>
      </c>
      <c r="D9" s="1090" t="s">
        <v>723</v>
      </c>
      <c r="E9" s="1099">
        <f>E10+E11+E12+E13</f>
        <v>1986.719709</v>
      </c>
      <c r="F9" s="1221">
        <f>F10+F11+F12+F13</f>
        <v>1268.7680865688533</v>
      </c>
      <c r="G9" s="1221">
        <f>G10+G11+G12+G13</f>
        <v>666.55092890836249</v>
      </c>
      <c r="H9" s="1221">
        <f>H10+H11+H12+H13</f>
        <v>51.400693522784174</v>
      </c>
      <c r="I9" s="4"/>
      <c r="J9" s="15"/>
      <c r="K9" s="1074"/>
    </row>
    <row r="10" spans="1:13" ht="18" customHeight="1">
      <c r="B10" s="1090" t="s">
        <v>97</v>
      </c>
      <c r="C10" s="1305" t="s">
        <v>98</v>
      </c>
      <c r="D10" s="1090" t="s">
        <v>723</v>
      </c>
      <c r="E10" s="1092">
        <f>SUM(F10:H10)</f>
        <v>1588.1290439999998</v>
      </c>
      <c r="F10" s="1276">
        <f>'Повна собів'!E41</f>
        <v>1014.2182811457185</v>
      </c>
      <c r="G10" s="1276">
        <f>'Повна собів'!F41</f>
        <v>532.82246343515271</v>
      </c>
      <c r="H10" s="1276">
        <f>'Повна собів'!G41</f>
        <v>41.088299419128688</v>
      </c>
      <c r="J10" s="15"/>
      <c r="K10" s="1074"/>
    </row>
    <row r="11" spans="1:13" ht="15.75" customHeight="1">
      <c r="B11" s="1090" t="s">
        <v>99</v>
      </c>
      <c r="C11" s="1305" t="s">
        <v>100</v>
      </c>
      <c r="D11" s="1090" t="s">
        <v>723</v>
      </c>
      <c r="E11" s="1092">
        <f t="shared" ref="E11:E35" si="0">SUM(F11:H11)</f>
        <v>0</v>
      </c>
      <c r="F11" s="1090">
        <v>0</v>
      </c>
      <c r="G11" s="1090">
        <v>0</v>
      </c>
      <c r="H11" s="1090">
        <v>0</v>
      </c>
      <c r="J11" s="15"/>
      <c r="K11" s="1074"/>
    </row>
    <row r="12" spans="1:13" ht="13.5" customHeight="1">
      <c r="B12" s="1090" t="s">
        <v>101</v>
      </c>
      <c r="C12" s="1305" t="s">
        <v>102</v>
      </c>
      <c r="D12" s="1090" t="s">
        <v>723</v>
      </c>
      <c r="E12" s="1092">
        <f t="shared" si="0"/>
        <v>130.02275</v>
      </c>
      <c r="F12" s="1276">
        <f>'Повна собів'!E42</f>
        <v>83.035727174094475</v>
      </c>
      <c r="G12" s="1276">
        <f>'Повна собів'!F42</f>
        <v>43.623055833750627</v>
      </c>
      <c r="H12" s="1276">
        <f>'Повна собів'!G42</f>
        <v>3.3639669921548987</v>
      </c>
      <c r="J12" s="15"/>
      <c r="K12" s="1074"/>
    </row>
    <row r="13" spans="1:13" ht="16.5" customHeight="1">
      <c r="B13" s="1127" t="s">
        <v>103</v>
      </c>
      <c r="C13" s="1298" t="s">
        <v>104</v>
      </c>
      <c r="D13" s="1299" t="s">
        <v>723</v>
      </c>
      <c r="E13" s="1300">
        <f t="shared" si="0"/>
        <v>268.56791499999997</v>
      </c>
      <c r="F13" s="1301">
        <f>'Повна собів'!E43</f>
        <v>171.51407824904024</v>
      </c>
      <c r="G13" s="1301">
        <f>'Повна собів'!F43</f>
        <v>90.105409639459197</v>
      </c>
      <c r="H13" s="1301">
        <f>'Повна собів'!G43</f>
        <v>6.9484271115005845</v>
      </c>
      <c r="J13" s="15"/>
      <c r="K13" s="1074"/>
    </row>
    <row r="14" spans="1:13">
      <c r="B14" s="1219" t="s">
        <v>455</v>
      </c>
      <c r="C14" s="1217" t="s">
        <v>105</v>
      </c>
      <c r="D14" s="1091" t="s">
        <v>723</v>
      </c>
      <c r="E14" s="1099">
        <f t="shared" si="0"/>
        <v>843.79426897920007</v>
      </c>
      <c r="F14" s="1212">
        <f>'Повна собів'!E44</f>
        <v>538.867780523188</v>
      </c>
      <c r="G14" s="1212">
        <f>'Повна собів'!F44</f>
        <v>283.09572369357238</v>
      </c>
      <c r="H14" s="1212">
        <f>'Повна собів'!G44</f>
        <v>21.83076476243966</v>
      </c>
      <c r="J14" s="15"/>
      <c r="K14" s="1074"/>
    </row>
    <row r="15" spans="1:13">
      <c r="B15" s="1219" t="s">
        <v>106</v>
      </c>
      <c r="C15" s="1217" t="s">
        <v>107</v>
      </c>
      <c r="D15" s="1091" t="s">
        <v>723</v>
      </c>
      <c r="E15" s="1099">
        <f t="shared" si="0"/>
        <v>3784.8772385781986</v>
      </c>
      <c r="F15" s="1212">
        <f>'Повна собів'!E45</f>
        <v>2417.1157260557816</v>
      </c>
      <c r="G15" s="1212">
        <f>'Повна собів'!F45</f>
        <v>1269.8386328730062</v>
      </c>
      <c r="H15" s="1212">
        <f>'Повна собів'!G45</f>
        <v>97.922879649410916</v>
      </c>
      <c r="J15" s="15"/>
      <c r="K15" s="1074"/>
    </row>
    <row r="16" spans="1:13" ht="15" customHeight="1">
      <c r="B16" s="1090" t="s">
        <v>108</v>
      </c>
      <c r="C16" s="1218" t="s">
        <v>765</v>
      </c>
      <c r="D16" s="1091" t="s">
        <v>723</v>
      </c>
      <c r="E16" s="1092">
        <f t="shared" si="0"/>
        <v>185.63473917542399</v>
      </c>
      <c r="F16" s="1096">
        <f>'Повна собів'!E46</f>
        <v>118.55091171510134</v>
      </c>
      <c r="G16" s="1096">
        <f>'Повна собів'!F46</f>
        <v>62.281059212585909</v>
      </c>
      <c r="H16" s="1096">
        <f>'Повна собів'!G46</f>
        <v>4.8027682477367248</v>
      </c>
      <c r="J16" s="15"/>
      <c r="K16" s="1074"/>
    </row>
    <row r="17" spans="1:17" ht="15.75" customHeight="1">
      <c r="B17" s="1090" t="s">
        <v>109</v>
      </c>
      <c r="C17" s="1218" t="s">
        <v>110</v>
      </c>
      <c r="D17" s="1091" t="s">
        <v>723</v>
      </c>
      <c r="E17" s="1092">
        <f t="shared" si="0"/>
        <v>2.2210000000000001</v>
      </c>
      <c r="F17" s="1096">
        <f>'Повна собів'!E47</f>
        <v>1.4183852445334668</v>
      </c>
      <c r="G17" s="1096">
        <f>'Повна собів'!F47</f>
        <v>0.7451527290936405</v>
      </c>
      <c r="H17" s="1096">
        <f>'Повна собів'!G47</f>
        <v>5.7462026372892674E-2</v>
      </c>
      <c r="J17" s="15"/>
      <c r="K17" s="1074"/>
    </row>
    <row r="18" spans="1:17" ht="15.75" customHeight="1">
      <c r="B18" s="1090" t="s">
        <v>111</v>
      </c>
      <c r="C18" s="1218" t="s">
        <v>112</v>
      </c>
      <c r="D18" s="1091" t="s">
        <v>723</v>
      </c>
      <c r="E18" s="1092">
        <f t="shared" si="0"/>
        <v>559.49999999999989</v>
      </c>
      <c r="F18" s="1096">
        <f>'Повна собів'!E48</f>
        <v>357.31046569854777</v>
      </c>
      <c r="G18" s="1096">
        <f>'Повна собів'!F48</f>
        <v>187.71407110665999</v>
      </c>
      <c r="H18" s="1096">
        <f>'Повна собів'!G48</f>
        <v>14.475463194792187</v>
      </c>
      <c r="J18" s="15"/>
      <c r="K18" s="1074"/>
    </row>
    <row r="19" spans="1:17" ht="15.75" customHeight="1">
      <c r="B19" s="1090" t="s">
        <v>270</v>
      </c>
      <c r="C19" s="1218" t="s">
        <v>271</v>
      </c>
      <c r="D19" s="1091" t="s">
        <v>723</v>
      </c>
      <c r="E19" s="1092">
        <f t="shared" si="0"/>
        <v>3037.5214994027751</v>
      </c>
      <c r="F19" s="1096">
        <f>'Повна собів'!E49</f>
        <v>1579.4745137664547</v>
      </c>
      <c r="G19" s="1096">
        <f>'Повна собів'!F49</f>
        <v>1353.6602499441124</v>
      </c>
      <c r="H19" s="1096">
        <f>'Повна собів'!G49</f>
        <v>104.38673569220764</v>
      </c>
      <c r="J19" s="15"/>
      <c r="K19" s="1074"/>
    </row>
    <row r="20" spans="1:17" ht="15.75" customHeight="1">
      <c r="A20" s="1098"/>
      <c r="B20" s="1219" t="s">
        <v>113</v>
      </c>
      <c r="C20" s="1217" t="s">
        <v>145</v>
      </c>
      <c r="D20" s="1091" t="s">
        <v>723</v>
      </c>
      <c r="E20" s="1099">
        <f t="shared" si="0"/>
        <v>269.45097566372294</v>
      </c>
      <c r="F20" s="1100">
        <f>'Повна собів'!E50</f>
        <v>172.07802251534034</v>
      </c>
      <c r="G20" s="1100">
        <f>'Повна собів'!F50</f>
        <v>90.401679366396777</v>
      </c>
      <c r="H20" s="1100">
        <f>'Повна собів'!G50</f>
        <v>6.971273781985821</v>
      </c>
      <c r="J20" s="15"/>
      <c r="K20" s="1074"/>
    </row>
    <row r="21" spans="1:17" ht="17.25" customHeight="1">
      <c r="B21" s="1090" t="s">
        <v>114</v>
      </c>
      <c r="C21" s="1218" t="s">
        <v>766</v>
      </c>
      <c r="D21" s="1091" t="s">
        <v>723</v>
      </c>
      <c r="E21" s="1092">
        <f t="shared" si="0"/>
        <v>198.43310825773457</v>
      </c>
      <c r="F21" s="1101">
        <f>'Повна собів'!E51</f>
        <v>126.72426509666042</v>
      </c>
      <c r="G21" s="1101">
        <f>'Повна собів'!F51</f>
        <v>66.574953696886411</v>
      </c>
      <c r="H21" s="1101">
        <f>'Повна собів'!G51</f>
        <v>5.1338894641877584</v>
      </c>
      <c r="J21" s="15"/>
      <c r="K21" s="1074"/>
    </row>
    <row r="22" spans="1:17" ht="17.25" customHeight="1">
      <c r="B22" s="1090" t="s">
        <v>115</v>
      </c>
      <c r="C22" s="1218" t="s">
        <v>765</v>
      </c>
      <c r="D22" s="1091" t="s">
        <v>723</v>
      </c>
      <c r="E22" s="1092">
        <f t="shared" si="0"/>
        <v>43.655283816701605</v>
      </c>
      <c r="F22" s="1101">
        <f>'Повна собів'!E52</f>
        <v>27.879338321265291</v>
      </c>
      <c r="G22" s="1101">
        <f>'Повна собів'!F52</f>
        <v>14.646489813315011</v>
      </c>
      <c r="H22" s="1101">
        <f>'Повна собів'!G52</f>
        <v>1.1294556821213069</v>
      </c>
      <c r="J22" s="15"/>
      <c r="K22" s="1074"/>
    </row>
    <row r="23" spans="1:17" ht="15" customHeight="1">
      <c r="B23" s="1090" t="s">
        <v>116</v>
      </c>
      <c r="C23" s="1218" t="s">
        <v>767</v>
      </c>
      <c r="D23" s="1091" t="s">
        <v>723</v>
      </c>
      <c r="E23" s="1092">
        <f t="shared" si="0"/>
        <v>27.362583589286697</v>
      </c>
      <c r="F23" s="1101">
        <f>'Повна собів'!E53</f>
        <v>17.474419097414604</v>
      </c>
      <c r="G23" s="1101">
        <f>'Повна собів'!F53</f>
        <v>9.1802358561953366</v>
      </c>
      <c r="H23" s="1101">
        <f>'Повна собів'!G53</f>
        <v>0.70792863567675479</v>
      </c>
      <c r="J23" s="15"/>
      <c r="K23" s="1074"/>
    </row>
    <row r="24" spans="1:17" ht="16.5" customHeight="1">
      <c r="A24" s="1098"/>
      <c r="B24" s="1219" t="s">
        <v>446</v>
      </c>
      <c r="C24" s="1216" t="s">
        <v>117</v>
      </c>
      <c r="D24" s="1091" t="s">
        <v>723</v>
      </c>
      <c r="E24" s="1099">
        <f t="shared" si="0"/>
        <v>272.90031411049284</v>
      </c>
      <c r="F24" s="1100">
        <f>'Повна собів'!E54</f>
        <v>174.28085491349452</v>
      </c>
      <c r="G24" s="1100">
        <f>'Повна собів'!F54</f>
        <v>91.558943642478837</v>
      </c>
      <c r="H24" s="1100">
        <f>'Повна собів'!G54</f>
        <v>7.0605155545195117</v>
      </c>
      <c r="J24" s="15"/>
      <c r="K24" s="1074"/>
    </row>
    <row r="25" spans="1:17">
      <c r="B25" s="1090" t="s">
        <v>457</v>
      </c>
      <c r="C25" s="1218" t="s">
        <v>766</v>
      </c>
      <c r="D25" s="1091" t="s">
        <v>723</v>
      </c>
      <c r="E25" s="1092">
        <f t="shared" si="0"/>
        <v>225.32381097193843</v>
      </c>
      <c r="F25" s="1101">
        <f>'Повна собів'!E55</f>
        <v>143.89732945729199</v>
      </c>
      <c r="G25" s="1101">
        <f>'Повна собів'!F55</f>
        <v>75.596871983574729</v>
      </c>
      <c r="H25" s="1101">
        <f>'Повна собів'!G55</f>
        <v>5.8296095310716831</v>
      </c>
      <c r="J25" s="15"/>
      <c r="K25" s="1074"/>
    </row>
    <row r="26" spans="1:17">
      <c r="B26" s="1090" t="s">
        <v>459</v>
      </c>
      <c r="C26" s="1218" t="s">
        <v>765</v>
      </c>
      <c r="D26" s="1091" t="s">
        <v>723</v>
      </c>
      <c r="E26" s="1092">
        <f t="shared" si="0"/>
        <v>22.828849191401869</v>
      </c>
      <c r="F26" s="1101">
        <f>'Повна собів'!E56</f>
        <v>14.579064764864555</v>
      </c>
      <c r="G26" s="1101">
        <f>'Повна собів'!F56</f>
        <v>7.6591532089330254</v>
      </c>
      <c r="H26" s="1101">
        <f>'Повна собів'!G56</f>
        <v>0.59063121760428805</v>
      </c>
      <c r="J26" s="15"/>
      <c r="K26" s="1074"/>
    </row>
    <row r="27" spans="1:17">
      <c r="B27" s="1090" t="s">
        <v>118</v>
      </c>
      <c r="C27" s="1218" t="s">
        <v>767</v>
      </c>
      <c r="D27" s="1091" t="s">
        <v>723</v>
      </c>
      <c r="E27" s="1092">
        <f t="shared" si="0"/>
        <v>24.747653947152568</v>
      </c>
      <c r="F27" s="1101">
        <f>'Повна собів'!E57</f>
        <v>15.804460691337962</v>
      </c>
      <c r="G27" s="1101">
        <f>'Повна собів'!F57</f>
        <v>8.3029184499710667</v>
      </c>
      <c r="H27" s="1101">
        <f>'Повна собів'!G57</f>
        <v>0.64027480584354002</v>
      </c>
      <c r="J27" s="15"/>
      <c r="K27" s="1074"/>
    </row>
    <row r="28" spans="1:17" ht="18.75" customHeight="1">
      <c r="A28" s="1098"/>
      <c r="B28" s="1219" t="s">
        <v>447</v>
      </c>
      <c r="C28" s="1216" t="s">
        <v>119</v>
      </c>
      <c r="D28" s="1091" t="s">
        <v>723</v>
      </c>
      <c r="E28" s="1099">
        <f t="shared" si="0"/>
        <v>0</v>
      </c>
      <c r="F28" s="1102">
        <f>F29+F30+F31</f>
        <v>0</v>
      </c>
      <c r="G28" s="1103">
        <f>G29+G30+G31</f>
        <v>0</v>
      </c>
      <c r="H28" s="1103">
        <f>H29+H30+H31</f>
        <v>0</v>
      </c>
      <c r="J28" s="15"/>
      <c r="K28" s="1074"/>
    </row>
    <row r="29" spans="1:17">
      <c r="B29" s="1090" t="s">
        <v>460</v>
      </c>
      <c r="C29" s="1218" t="s">
        <v>766</v>
      </c>
      <c r="D29" s="1091" t="s">
        <v>723</v>
      </c>
      <c r="E29" s="1129">
        <f t="shared" si="0"/>
        <v>0</v>
      </c>
      <c r="F29" s="1093">
        <v>0</v>
      </c>
      <c r="G29" s="1094">
        <v>0</v>
      </c>
      <c r="H29" s="1094">
        <v>0</v>
      </c>
      <c r="J29" s="15"/>
      <c r="K29" s="1074"/>
    </row>
    <row r="30" spans="1:17">
      <c r="B30" s="1090" t="s">
        <v>462</v>
      </c>
      <c r="C30" s="1218" t="s">
        <v>765</v>
      </c>
      <c r="D30" s="1091" t="s">
        <v>723</v>
      </c>
      <c r="E30" s="1129">
        <f t="shared" si="0"/>
        <v>0</v>
      </c>
      <c r="F30" s="1093">
        <v>0</v>
      </c>
      <c r="G30" s="1094">
        <v>0</v>
      </c>
      <c r="H30" s="1094">
        <v>0</v>
      </c>
      <c r="J30" s="15"/>
      <c r="K30" s="1074"/>
      <c r="M30" s="1104"/>
      <c r="N30" s="1104"/>
      <c r="O30" s="1104"/>
      <c r="P30" s="1104"/>
      <c r="Q30" s="1104"/>
    </row>
    <row r="31" spans="1:17">
      <c r="B31" s="1090" t="s">
        <v>120</v>
      </c>
      <c r="C31" s="1218" t="s">
        <v>56</v>
      </c>
      <c r="D31" s="1091" t="s">
        <v>723</v>
      </c>
      <c r="E31" s="1129">
        <f t="shared" si="0"/>
        <v>0</v>
      </c>
      <c r="F31" s="1093">
        <v>0</v>
      </c>
      <c r="G31" s="1094">
        <v>0</v>
      </c>
      <c r="H31" s="1094">
        <v>0</v>
      </c>
      <c r="J31" s="15"/>
      <c r="K31" s="1074"/>
    </row>
    <row r="32" spans="1:17" ht="17.25" customHeight="1">
      <c r="A32" s="1098"/>
      <c r="B32" s="1219" t="s">
        <v>448</v>
      </c>
      <c r="C32" s="1216" t="s">
        <v>267</v>
      </c>
      <c r="D32" s="1091" t="s">
        <v>723</v>
      </c>
      <c r="E32" s="1221">
        <f t="shared" si="0"/>
        <v>0</v>
      </c>
      <c r="F32" s="1102">
        <v>0</v>
      </c>
      <c r="G32" s="1103">
        <v>0</v>
      </c>
      <c r="H32" s="1103">
        <v>0</v>
      </c>
      <c r="J32" s="15"/>
      <c r="K32" s="1074"/>
    </row>
    <row r="33" spans="1:17" ht="15.75" customHeight="1">
      <c r="A33" s="1098"/>
      <c r="B33" s="1219" t="s">
        <v>449</v>
      </c>
      <c r="C33" s="1216" t="s">
        <v>121</v>
      </c>
      <c r="D33" s="1091" t="s">
        <v>723</v>
      </c>
      <c r="E33" s="1221">
        <f t="shared" si="0"/>
        <v>0</v>
      </c>
      <c r="F33" s="1102">
        <v>0</v>
      </c>
      <c r="G33" s="1103">
        <v>0</v>
      </c>
      <c r="H33" s="1103">
        <v>0</v>
      </c>
      <c r="J33" s="15"/>
      <c r="K33" s="1074"/>
      <c r="O33" s="4"/>
      <c r="P33" s="4"/>
      <c r="Q33" s="4"/>
    </row>
    <row r="34" spans="1:17">
      <c r="B34" s="1219" t="s">
        <v>450</v>
      </c>
      <c r="C34" s="1216" t="s">
        <v>266</v>
      </c>
      <c r="D34" s="1091" t="s">
        <v>723</v>
      </c>
      <c r="E34" s="1099">
        <f t="shared" si="0"/>
        <v>7157.7425063316141</v>
      </c>
      <c r="F34" s="1102">
        <f>F8+F20+F24+F28+F32+F33</f>
        <v>4571.1104705766575</v>
      </c>
      <c r="G34" s="1103">
        <f>G8+G20+G24+G28+G32+G33</f>
        <v>2401.4459084838168</v>
      </c>
      <c r="H34" s="1103">
        <f>H8+H20+H24+H28+H32+H33</f>
        <v>185.18612727114009</v>
      </c>
      <c r="I34" s="4"/>
      <c r="J34" s="15"/>
      <c r="K34" s="1074"/>
    </row>
    <row r="35" spans="1:17">
      <c r="B35" s="1219">
        <v>7</v>
      </c>
      <c r="C35" s="1216" t="s">
        <v>122</v>
      </c>
      <c r="D35" s="1091" t="s">
        <v>723</v>
      </c>
      <c r="E35" s="1221">
        <f t="shared" si="0"/>
        <v>0</v>
      </c>
      <c r="F35" s="1102">
        <v>0</v>
      </c>
      <c r="G35" s="1102">
        <v>0</v>
      </c>
      <c r="H35" s="1102">
        <v>0</v>
      </c>
      <c r="J35" s="15"/>
      <c r="K35" s="1074"/>
    </row>
    <row r="36" spans="1:17" ht="14.25" customHeight="1">
      <c r="B36" s="1219">
        <v>8</v>
      </c>
      <c r="C36" s="1216" t="s">
        <v>269</v>
      </c>
      <c r="D36" s="1091" t="s">
        <v>723</v>
      </c>
      <c r="E36" s="1105">
        <f>F36+G36+H36</f>
        <v>1097.56492734878</v>
      </c>
      <c r="F36" s="1105">
        <f>SUM(F37:F41)</f>
        <v>700.93196662267269</v>
      </c>
      <c r="G36" s="1105">
        <f>SUM(G37:G41)</f>
        <v>368.23660557019667</v>
      </c>
      <c r="H36" s="1105">
        <f>SUM(H37:H41)</f>
        <v>28.39635515591069</v>
      </c>
      <c r="J36" s="15"/>
      <c r="K36" s="1074"/>
    </row>
    <row r="37" spans="1:17" ht="18.75" customHeight="1">
      <c r="B37" s="1106" t="s">
        <v>68</v>
      </c>
      <c r="C37" s="1107" t="s">
        <v>69</v>
      </c>
      <c r="D37" s="1108" t="s">
        <v>123</v>
      </c>
      <c r="E37" s="1109">
        <f>F37+G37+H37</f>
        <v>197.3312270955156</v>
      </c>
      <c r="F37" s="1109">
        <f>(F40+F41)*0.2192</f>
        <v>126.02057667625483</v>
      </c>
      <c r="G37" s="1109">
        <f>(G40+G41)*0.2192</f>
        <v>66.205268980468432</v>
      </c>
      <c r="H37" s="1109">
        <f>(H40+H41)*0.2192</f>
        <v>5.1053814387923424</v>
      </c>
      <c r="J37" s="15"/>
      <c r="K37" s="1074"/>
    </row>
    <row r="38" spans="1:17">
      <c r="B38" s="1106" t="s">
        <v>70</v>
      </c>
      <c r="C38" s="1107" t="s">
        <v>71</v>
      </c>
      <c r="D38" s="1091" t="s">
        <v>723</v>
      </c>
      <c r="E38" s="1222">
        <f>F38+G38+H38</f>
        <v>0</v>
      </c>
      <c r="F38" s="1222">
        <v>0</v>
      </c>
      <c r="G38" s="1222">
        <v>0</v>
      </c>
      <c r="H38" s="1222">
        <v>0</v>
      </c>
      <c r="J38" s="15"/>
      <c r="K38" s="1074"/>
    </row>
    <row r="39" spans="1:17">
      <c r="B39" s="1106" t="s">
        <v>72</v>
      </c>
      <c r="C39" s="1107" t="s">
        <v>73</v>
      </c>
      <c r="D39" s="1091" t="s">
        <v>723</v>
      </c>
      <c r="E39" s="1222">
        <f>F39+G39+H39</f>
        <v>0</v>
      </c>
      <c r="F39" s="1222">
        <v>0</v>
      </c>
      <c r="G39" s="1222">
        <v>0</v>
      </c>
      <c r="H39" s="1222">
        <v>0</v>
      </c>
      <c r="J39" s="15"/>
      <c r="K39" s="4"/>
    </row>
    <row r="40" spans="1:17">
      <c r="B40" s="1106" t="s">
        <v>74</v>
      </c>
      <c r="C40" s="1107" t="s">
        <v>75</v>
      </c>
      <c r="D40" s="1091" t="s">
        <v>723</v>
      </c>
      <c r="E40" s="1109">
        <v>613.92399999999998</v>
      </c>
      <c r="F40" s="1109">
        <f>E40/E45*F45</f>
        <v>392.06697112335166</v>
      </c>
      <c r="G40" s="1109">
        <f>F40/F45*G45</f>
        <v>205.97350025037557</v>
      </c>
      <c r="H40" s="1109">
        <f>G40/G45*H45</f>
        <v>15.883528626272744</v>
      </c>
      <c r="J40" s="15"/>
      <c r="K40" s="4"/>
      <c r="N40" s="4"/>
    </row>
    <row r="41" spans="1:17">
      <c r="B41" s="1106" t="s">
        <v>76</v>
      </c>
      <c r="C41" s="1107" t="s">
        <v>77</v>
      </c>
      <c r="D41" s="1091" t="s">
        <v>723</v>
      </c>
      <c r="E41" s="1109">
        <f>F41+G41+H41</f>
        <v>286.30970025326457</v>
      </c>
      <c r="F41" s="1109">
        <f>F34*0.04</f>
        <v>182.84441882306629</v>
      </c>
      <c r="G41" s="1109">
        <f>G34*0.04</f>
        <v>96.057836339352676</v>
      </c>
      <c r="H41" s="1109">
        <f>H34*0.04</f>
        <v>7.407445090845604</v>
      </c>
      <c r="J41" s="15"/>
      <c r="K41" s="4"/>
      <c r="N41" s="1110"/>
      <c r="O41" s="4"/>
    </row>
    <row r="42" spans="1:17">
      <c r="B42" s="1106" t="s">
        <v>78</v>
      </c>
      <c r="C42" s="1107" t="s">
        <v>79</v>
      </c>
      <c r="D42" s="1091" t="s">
        <v>723</v>
      </c>
      <c r="E42" s="1111">
        <f>E36/(E34+E35)*100</f>
        <v>15.333953776318346</v>
      </c>
      <c r="F42" s="1111">
        <f>F36/(F34+F35)*100</f>
        <v>15.333953776318346</v>
      </c>
      <c r="G42" s="1111">
        <f>G36/(G34+G35)*100</f>
        <v>15.333953776318349</v>
      </c>
      <c r="H42" s="1092">
        <f>H36/(H34+H35)*100</f>
        <v>15.333953776318349</v>
      </c>
      <c r="J42" s="15"/>
      <c r="K42" s="4"/>
    </row>
    <row r="43" spans="1:17" ht="16.5" customHeight="1">
      <c r="B43" s="1090">
        <v>10</v>
      </c>
      <c r="C43" s="1216" t="s">
        <v>124</v>
      </c>
      <c r="D43" s="1091" t="s">
        <v>723</v>
      </c>
      <c r="E43" s="1099">
        <f>F43+G43+H43</f>
        <v>8255.3074336803948</v>
      </c>
      <c r="F43" s="1099">
        <f>F34+F35+F36</f>
        <v>5272.0424371993304</v>
      </c>
      <c r="G43" s="1099">
        <f>G34+G35+G36</f>
        <v>2769.6825140540136</v>
      </c>
      <c r="H43" s="1099">
        <f>H34+H35+H36</f>
        <v>213.58248242705079</v>
      </c>
      <c r="J43" s="15"/>
      <c r="K43" s="1074"/>
    </row>
    <row r="44" spans="1:17" ht="16.5" customHeight="1">
      <c r="B44" s="1090">
        <v>11</v>
      </c>
      <c r="C44" s="1216" t="s">
        <v>125</v>
      </c>
      <c r="D44" s="1112" t="s">
        <v>452</v>
      </c>
      <c r="E44" s="1113">
        <f>E43/E51*1000</f>
        <v>688.9757497646799</v>
      </c>
      <c r="F44" s="1113">
        <f>F43/F51*1000</f>
        <v>688.9757497646799</v>
      </c>
      <c r="G44" s="1113">
        <f>G43/G51*1000</f>
        <v>688.97574976468002</v>
      </c>
      <c r="H44" s="1410">
        <f>H43/H51*1000</f>
        <v>688.97574976468002</v>
      </c>
      <c r="K44" s="4"/>
    </row>
    <row r="45" spans="1:17" ht="18.75" customHeight="1">
      <c r="B45" s="1090">
        <v>12</v>
      </c>
      <c r="C45" s="1216" t="s">
        <v>126</v>
      </c>
      <c r="D45" s="1091" t="s">
        <v>732</v>
      </c>
      <c r="E45" s="1221">
        <f>SUM(F45:H45)</f>
        <v>13462.999999999998</v>
      </c>
      <c r="F45" s="1227">
        <f>F46+F47</f>
        <v>8597.8030378901676</v>
      </c>
      <c r="G45" s="1227">
        <f>G46+G47</f>
        <v>4516.8803204807209</v>
      </c>
      <c r="H45" s="1227">
        <f>H46+H47</f>
        <v>348.31664162911034</v>
      </c>
      <c r="J45" s="15"/>
      <c r="K45" s="1074"/>
    </row>
    <row r="46" spans="1:17">
      <c r="B46" s="1090" t="s">
        <v>127</v>
      </c>
      <c r="C46" s="1218" t="s">
        <v>128</v>
      </c>
      <c r="D46" s="1091" t="s">
        <v>732</v>
      </c>
      <c r="E46" s="1129">
        <f>SUM(F46:H46)</f>
        <v>13462.999999999998</v>
      </c>
      <c r="F46" s="1093">
        <f>Паливо!D7</f>
        <v>8597.8030378901676</v>
      </c>
      <c r="G46" s="1093">
        <f>Паливо!E7</f>
        <v>4516.8803204807209</v>
      </c>
      <c r="H46" s="1093">
        <f>Паливо!F7</f>
        <v>348.31664162911034</v>
      </c>
      <c r="J46" s="1114"/>
      <c r="K46" s="1074"/>
      <c r="L46" s="1074"/>
      <c r="M46" s="1074"/>
    </row>
    <row r="47" spans="1:17" ht="17.25" customHeight="1">
      <c r="B47" s="1090" t="s">
        <v>129</v>
      </c>
      <c r="C47" s="1218" t="s">
        <v>130</v>
      </c>
      <c r="D47" s="1091" t="s">
        <v>732</v>
      </c>
      <c r="E47" s="1115">
        <v>0</v>
      </c>
      <c r="F47" s="1097">
        <v>0</v>
      </c>
      <c r="G47" s="1091">
        <v>0</v>
      </c>
      <c r="H47" s="1091">
        <v>0</v>
      </c>
    </row>
    <row r="48" spans="1:17" ht="18" customHeight="1">
      <c r="B48" s="1090">
        <v>13</v>
      </c>
      <c r="C48" s="1216" t="s">
        <v>131</v>
      </c>
      <c r="D48" s="1091" t="s">
        <v>732</v>
      </c>
      <c r="E48" s="1221">
        <f>SUM(F48:H48)</f>
        <v>1480.9999999999998</v>
      </c>
      <c r="F48" s="1102">
        <f>F49+F50</f>
        <v>945.80303789016853</v>
      </c>
      <c r="G48" s="1102">
        <f>G49+G50</f>
        <v>496.88032048072102</v>
      </c>
      <c r="H48" s="1102">
        <f>H49+H50</f>
        <v>38.316641629110329</v>
      </c>
    </row>
    <row r="49" spans="2:12">
      <c r="B49" s="1090" t="s">
        <v>132</v>
      </c>
      <c r="C49" s="1218" t="s">
        <v>128</v>
      </c>
      <c r="D49" s="1091" t="s">
        <v>732</v>
      </c>
      <c r="E49" s="1129">
        <f>SUM(F49:H49)</f>
        <v>1480.9999999999998</v>
      </c>
      <c r="F49" s="1093">
        <f>Паливо!C28</f>
        <v>945.80303789016853</v>
      </c>
      <c r="G49" s="1093">
        <f>Паливо!D28</f>
        <v>496.88032048072102</v>
      </c>
      <c r="H49" s="1093">
        <f>Паливо!E28</f>
        <v>38.316641629110329</v>
      </c>
    </row>
    <row r="50" spans="2:12">
      <c r="B50" s="1090" t="s">
        <v>133</v>
      </c>
      <c r="C50" s="1218" t="s">
        <v>134</v>
      </c>
      <c r="D50" s="1091" t="s">
        <v>732</v>
      </c>
      <c r="E50" s="1116">
        <v>0</v>
      </c>
      <c r="F50" s="1116">
        <v>0</v>
      </c>
      <c r="G50" s="1116">
        <v>0</v>
      </c>
      <c r="H50" s="1090">
        <v>0</v>
      </c>
    </row>
    <row r="51" spans="2:12" ht="18" customHeight="1">
      <c r="B51" s="1090">
        <v>14</v>
      </c>
      <c r="C51" s="1216" t="s">
        <v>268</v>
      </c>
      <c r="D51" s="1091" t="s">
        <v>732</v>
      </c>
      <c r="E51" s="1221">
        <f>SUM(F51:H51)</f>
        <v>11982</v>
      </c>
      <c r="F51" s="1225">
        <v>7652</v>
      </c>
      <c r="G51" s="1225">
        <v>4020</v>
      </c>
      <c r="H51" s="1225">
        <v>310</v>
      </c>
    </row>
    <row r="52" spans="2:12">
      <c r="B52" s="1090" t="s">
        <v>135</v>
      </c>
      <c r="C52" s="1218" t="s">
        <v>128</v>
      </c>
      <c r="D52" s="1091" t="s">
        <v>732</v>
      </c>
      <c r="E52" s="1129">
        <f>SUM(F52:H52)</f>
        <v>11982</v>
      </c>
      <c r="F52" s="1226">
        <v>7652</v>
      </c>
      <c r="G52" s="1226">
        <v>4020</v>
      </c>
      <c r="H52" s="1226">
        <v>310</v>
      </c>
    </row>
    <row r="53" spans="2:12">
      <c r="B53" s="1090" t="s">
        <v>136</v>
      </c>
      <c r="C53" s="1218" t="s">
        <v>134</v>
      </c>
      <c r="D53" s="1091" t="s">
        <v>732</v>
      </c>
      <c r="E53" s="1116">
        <v>0</v>
      </c>
      <c r="F53" s="1116">
        <v>0</v>
      </c>
      <c r="G53" s="1116">
        <v>0</v>
      </c>
      <c r="H53" s="1090">
        <v>0</v>
      </c>
    </row>
    <row r="54" spans="2:12" ht="15.75">
      <c r="C54" s="1117"/>
      <c r="D54" s="1117"/>
      <c r="E54" s="1118"/>
      <c r="F54" s="1118"/>
      <c r="G54" s="1118"/>
      <c r="H54" s="1118"/>
      <c r="I54" s="1119"/>
      <c r="J54" s="1119"/>
      <c r="K54" s="1417"/>
      <c r="L54" s="1417"/>
    </row>
    <row r="55" spans="2:12" ht="15.75">
      <c r="C55" s="1083" t="s">
        <v>368</v>
      </c>
      <c r="D55" s="1117"/>
      <c r="E55" s="1118"/>
      <c r="F55" s="1439" t="s">
        <v>370</v>
      </c>
      <c r="G55" s="1439"/>
      <c r="H55" s="1118"/>
      <c r="I55" s="1119"/>
      <c r="J55" s="1119"/>
      <c r="K55" s="1120"/>
      <c r="L55" s="1120"/>
    </row>
    <row r="56" spans="2:12">
      <c r="D56" s="1078"/>
    </row>
    <row r="57" spans="2:12">
      <c r="F57" s="1121"/>
      <c r="G57" s="1121"/>
      <c r="H57" s="1121"/>
    </row>
  </sheetData>
  <mergeCells count="11">
    <mergeCell ref="K54:L54"/>
    <mergeCell ref="B2:H2"/>
    <mergeCell ref="B3:H3"/>
    <mergeCell ref="G4:H4"/>
    <mergeCell ref="B5:B6"/>
    <mergeCell ref="C5:C6"/>
    <mergeCell ref="D5:D6"/>
    <mergeCell ref="E5:E6"/>
    <mergeCell ref="F5:H5"/>
    <mergeCell ref="G1:H1"/>
    <mergeCell ref="F55:G55"/>
  </mergeCells>
  <phoneticPr fontId="51" type="noConversion"/>
  <pageMargins left="0.6692913385826772" right="0.15748031496062992" top="0.39370078740157483" bottom="0.55118110236220474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AA64"/>
  <sheetViews>
    <sheetView topLeftCell="B1" workbookViewId="0">
      <selection activeCell="H1" sqref="H1"/>
    </sheetView>
  </sheetViews>
  <sheetFormatPr defaultColWidth="7" defaultRowHeight="12.75"/>
  <cols>
    <col min="1" max="1" width="2" style="1063" hidden="1" customWidth="1"/>
    <col min="2" max="2" width="5.85546875" style="1064" customWidth="1"/>
    <col min="3" max="3" width="34.7109375" style="1065" customWidth="1"/>
    <col min="4" max="4" width="9.42578125" style="1064" customWidth="1"/>
    <col min="5" max="5" width="13.5703125" style="1066" customWidth="1"/>
    <col min="6" max="6" width="12.5703125" style="1066" customWidth="1"/>
    <col min="7" max="7" width="13.7109375" style="1066" customWidth="1"/>
    <col min="8" max="8" width="12.85546875" style="1067" customWidth="1"/>
    <col min="9" max="237" width="9.140625" customWidth="1"/>
    <col min="238" max="238" width="0" hidden="1" customWidth="1"/>
    <col min="239" max="239" width="4.7109375" customWidth="1"/>
    <col min="240" max="240" width="26" customWidth="1"/>
    <col min="241" max="241" width="8.140625" customWidth="1"/>
    <col min="242" max="242" width="13.5703125" customWidth="1"/>
    <col min="243" max="243" width="12.5703125" customWidth="1"/>
    <col min="244" max="244" width="12" customWidth="1"/>
    <col min="245" max="245" width="12.28515625" customWidth="1"/>
    <col min="246" max="246" width="9.140625" customWidth="1"/>
    <col min="247" max="247" width="8" customWidth="1"/>
    <col min="248" max="248" width="8.140625" customWidth="1"/>
    <col min="249" max="249" width="8" customWidth="1"/>
    <col min="250" max="250" width="9.5703125" bestFit="1" customWidth="1"/>
    <col min="251" max="251" width="8.140625" customWidth="1"/>
    <col min="252" max="252" width="7.5703125" customWidth="1"/>
    <col min="253" max="253" width="8.28515625" customWidth="1"/>
    <col min="254" max="254" width="9" customWidth="1"/>
    <col min="255" max="255" width="7.85546875" customWidth="1"/>
  </cols>
  <sheetData>
    <row r="1" spans="1:8" ht="12.75" customHeight="1">
      <c r="H1" s="1067" t="s">
        <v>186</v>
      </c>
    </row>
    <row r="2" spans="1:8" ht="26.25" customHeight="1">
      <c r="A2" s="1068"/>
      <c r="B2" s="1444" t="s">
        <v>29</v>
      </c>
      <c r="C2" s="1444"/>
      <c r="D2" s="1444"/>
      <c r="E2" s="1444"/>
      <c r="F2" s="1444"/>
      <c r="G2" s="1444"/>
      <c r="H2" s="1444"/>
    </row>
    <row r="3" spans="1:8" ht="18" customHeight="1">
      <c r="A3" s="1068"/>
      <c r="B3" s="1445" t="s">
        <v>263</v>
      </c>
      <c r="C3" s="1445"/>
      <c r="D3" s="1445"/>
      <c r="E3" s="1445"/>
      <c r="F3" s="1445"/>
      <c r="G3" s="1445"/>
      <c r="H3" s="1445"/>
    </row>
    <row r="4" spans="1:8" ht="21" customHeight="1">
      <c r="A4" s="1068"/>
      <c r="B4" s="1069"/>
      <c r="C4" s="1069"/>
      <c r="D4" s="1069"/>
      <c r="E4" s="1070"/>
      <c r="F4" s="1071"/>
      <c r="G4" s="1069"/>
      <c r="H4" s="1223" t="s">
        <v>272</v>
      </c>
    </row>
    <row r="5" spans="1:8" ht="24.75" customHeight="1">
      <c r="B5" s="1446" t="s">
        <v>30</v>
      </c>
      <c r="C5" s="1446" t="s">
        <v>701</v>
      </c>
      <c r="D5" s="1446" t="s">
        <v>31</v>
      </c>
      <c r="E5" s="1437" t="s">
        <v>994</v>
      </c>
      <c r="F5" s="1426" t="s">
        <v>94</v>
      </c>
      <c r="G5" s="1426"/>
      <c r="H5" s="1426"/>
    </row>
    <row r="6" spans="1:8" ht="72" customHeight="1">
      <c r="B6" s="1446"/>
      <c r="C6" s="1446"/>
      <c r="D6" s="1446"/>
      <c r="E6" s="1437"/>
      <c r="F6" s="1302" t="s">
        <v>698</v>
      </c>
      <c r="G6" s="1302" t="s">
        <v>495</v>
      </c>
      <c r="H6" s="1302" t="s">
        <v>499</v>
      </c>
    </row>
    <row r="7" spans="1:8" ht="15">
      <c r="A7" s="1072"/>
      <c r="B7" s="1311">
        <v>1</v>
      </c>
      <c r="C7" s="1311">
        <v>2</v>
      </c>
      <c r="D7" s="1311" t="s">
        <v>447</v>
      </c>
      <c r="E7" s="1109" t="s">
        <v>448</v>
      </c>
      <c r="F7" s="1194" t="s">
        <v>449</v>
      </c>
      <c r="G7" s="1194" t="s">
        <v>450</v>
      </c>
      <c r="H7" s="1194" t="s">
        <v>451</v>
      </c>
    </row>
    <row r="8" spans="1:8" ht="28.5">
      <c r="A8" s="1073"/>
      <c r="B8" s="1207">
        <v>1</v>
      </c>
      <c r="C8" s="1312" t="s">
        <v>33</v>
      </c>
      <c r="D8" s="1313" t="s">
        <v>723</v>
      </c>
      <c r="E8" s="1105">
        <f>E9+E15+E16+E20</f>
        <v>26486.625415413415</v>
      </c>
      <c r="F8" s="1314">
        <f>F9+F15+F16+F20</f>
        <v>13639.152319360475</v>
      </c>
      <c r="G8" s="1314">
        <f>G9+G15+G16+G20</f>
        <v>11927.677100723517</v>
      </c>
      <c r="H8" s="1314">
        <f>H9+H15+H16+H20</f>
        <v>919.79599532942541</v>
      </c>
    </row>
    <row r="9" spans="1:8" ht="15">
      <c r="A9" s="1073"/>
      <c r="B9" s="1306" t="s">
        <v>34</v>
      </c>
      <c r="C9" s="1307" t="s">
        <v>35</v>
      </c>
      <c r="D9" s="1308" t="s">
        <v>657</v>
      </c>
      <c r="E9" s="1309">
        <f>SUM(E10:E14)</f>
        <v>20976.363019695345</v>
      </c>
      <c r="F9" s="1181">
        <f>SUM(F10:F14)</f>
        <v>10120.163181317188</v>
      </c>
      <c r="G9" s="1181">
        <f>SUM(G10:G14)</f>
        <v>10078.966131704436</v>
      </c>
      <c r="H9" s="1310">
        <f>SUM(H10:H14)</f>
        <v>777.23370667372512</v>
      </c>
    </row>
    <row r="10" spans="1:8" ht="15">
      <c r="A10" s="1073"/>
      <c r="B10" s="1190" t="s">
        <v>36</v>
      </c>
      <c r="C10" s="1209" t="s">
        <v>385</v>
      </c>
      <c r="D10" s="1198" t="s">
        <v>657</v>
      </c>
      <c r="E10" s="1187">
        <f t="shared" ref="E10:E23" si="0">F10+G10+H10</f>
        <v>20753.821955695345</v>
      </c>
      <c r="F10" s="1188">
        <f>'Повна собів'!E8</f>
        <v>9978.0429825416904</v>
      </c>
      <c r="G10" s="1188">
        <f>'Повна собів'!F8</f>
        <v>10004.30288038746</v>
      </c>
      <c r="H10" s="1188">
        <f>'Повна собів'!G8</f>
        <v>771.47609276619721</v>
      </c>
    </row>
    <row r="11" spans="1:8" ht="15">
      <c r="A11" s="1073"/>
      <c r="B11" s="1190" t="s">
        <v>37</v>
      </c>
      <c r="C11" s="1209" t="s">
        <v>588</v>
      </c>
      <c r="D11" s="1198" t="s">
        <v>657</v>
      </c>
      <c r="E11" s="1187">
        <f t="shared" si="0"/>
        <v>129.55606399999999</v>
      </c>
      <c r="F11" s="1188">
        <f>'Повна собів'!E9</f>
        <v>82.737690012351848</v>
      </c>
      <c r="G11" s="1188">
        <f>'Повна собів'!F9</f>
        <v>43.466481161742607</v>
      </c>
      <c r="H11" s="1188">
        <f>'Повна собів'!G9</f>
        <v>3.3518928259055247</v>
      </c>
    </row>
    <row r="12" spans="1:8" ht="15">
      <c r="A12" s="1073"/>
      <c r="B12" s="1186" t="s">
        <v>38</v>
      </c>
      <c r="C12" s="1209" t="s">
        <v>39</v>
      </c>
      <c r="D12" s="1198" t="s">
        <v>657</v>
      </c>
      <c r="E12" s="1187">
        <f t="shared" si="0"/>
        <v>0</v>
      </c>
      <c r="F12" s="1188">
        <v>0</v>
      </c>
      <c r="G12" s="1188">
        <v>0</v>
      </c>
      <c r="H12" s="1189">
        <v>0</v>
      </c>
    </row>
    <row r="13" spans="1:8" ht="30">
      <c r="A13" s="1075"/>
      <c r="B13" s="1186" t="s">
        <v>40</v>
      </c>
      <c r="C13" s="1209" t="s">
        <v>386</v>
      </c>
      <c r="D13" s="1198" t="s">
        <v>657</v>
      </c>
      <c r="E13" s="1187">
        <f t="shared" si="0"/>
        <v>57.914999999999999</v>
      </c>
      <c r="F13" s="1188">
        <f>'Повна собів'!E10</f>
        <v>36.985943915873811</v>
      </c>
      <c r="G13" s="1188">
        <f>'Повна собів'!F10</f>
        <v>19.430671006509762</v>
      </c>
      <c r="H13" s="1188">
        <f>'Повна собів'!G10</f>
        <v>1.4983850776164245</v>
      </c>
    </row>
    <row r="14" spans="1:8" ht="30">
      <c r="A14" s="1075"/>
      <c r="B14" s="1186" t="s">
        <v>41</v>
      </c>
      <c r="C14" s="1209" t="s">
        <v>387</v>
      </c>
      <c r="D14" s="1198" t="s">
        <v>657</v>
      </c>
      <c r="E14" s="1187">
        <f t="shared" si="0"/>
        <v>35.07</v>
      </c>
      <c r="F14" s="1188">
        <f>'Повна собів'!E11</f>
        <v>22.396564847270906</v>
      </c>
      <c r="G14" s="1188">
        <f>'Повна собів'!F11</f>
        <v>11.766099148723084</v>
      </c>
      <c r="H14" s="1188">
        <f>'Повна собів'!G11</f>
        <v>0.907336004006009</v>
      </c>
    </row>
    <row r="15" spans="1:8" s="45" customFormat="1" ht="14.25">
      <c r="A15" s="1076"/>
      <c r="B15" s="1191" t="s">
        <v>42</v>
      </c>
      <c r="C15" s="1208" t="s">
        <v>43</v>
      </c>
      <c r="D15" s="1233" t="s">
        <v>657</v>
      </c>
      <c r="E15" s="1183">
        <f t="shared" si="0"/>
        <v>2949.1707543936</v>
      </c>
      <c r="F15" s="1184">
        <f>'Повна собів'!E12</f>
        <v>1883.4130038908218</v>
      </c>
      <c r="G15" s="1184">
        <f>'Повна собів'!F12</f>
        <v>989.45638730281019</v>
      </c>
      <c r="H15" s="1184">
        <f>'Повна собів'!G12</f>
        <v>76.301363199967952</v>
      </c>
    </row>
    <row r="16" spans="1:8" ht="15">
      <c r="A16" s="1075"/>
      <c r="B16" s="1186" t="s">
        <v>44</v>
      </c>
      <c r="C16" s="1209" t="s">
        <v>45</v>
      </c>
      <c r="D16" s="1198" t="s">
        <v>657</v>
      </c>
      <c r="E16" s="1187">
        <f t="shared" si="0"/>
        <v>1520.357890005459</v>
      </c>
      <c r="F16" s="1188">
        <f>'Повна собів'!E13</f>
        <v>970.9379547923362</v>
      </c>
      <c r="G16" s="1188">
        <f>'Повна собів'!F13</f>
        <v>510.08502068285304</v>
      </c>
      <c r="H16" s="1188">
        <f>'Повна собів'!G13</f>
        <v>39.334914530269764</v>
      </c>
    </row>
    <row r="17" spans="1:8" ht="15">
      <c r="A17" s="1075"/>
      <c r="B17" s="1186" t="s">
        <v>46</v>
      </c>
      <c r="C17" s="1209" t="s">
        <v>788</v>
      </c>
      <c r="D17" s="1198" t="s">
        <v>657</v>
      </c>
      <c r="E17" s="1187">
        <f t="shared" si="0"/>
        <v>630.23489000545896</v>
      </c>
      <c r="F17" s="1188">
        <f>'Повна собів'!E14</f>
        <v>402.48350678699489</v>
      </c>
      <c r="G17" s="1188">
        <f>'Повна собів'!F14</f>
        <v>211.44585693723462</v>
      </c>
      <c r="H17" s="1188">
        <f>'Повна собів'!G14</f>
        <v>16.305526281229536</v>
      </c>
    </row>
    <row r="18" spans="1:8" ht="15">
      <c r="A18" s="1075"/>
      <c r="B18" s="1186" t="s">
        <v>47</v>
      </c>
      <c r="C18" s="1209" t="s">
        <v>389</v>
      </c>
      <c r="D18" s="1198" t="s">
        <v>657</v>
      </c>
      <c r="E18" s="1187">
        <f t="shared" si="0"/>
        <v>143.12299999999999</v>
      </c>
      <c r="F18" s="1188">
        <f>'Повна собів'!E15</f>
        <v>91.401869137038886</v>
      </c>
      <c r="G18" s="1188">
        <f>'Повна собів'!F15</f>
        <v>48.01823234852278</v>
      </c>
      <c r="H18" s="1188">
        <f>'Повна собів'!G15</f>
        <v>3.7028985144383237</v>
      </c>
    </row>
    <row r="19" spans="1:8" ht="15">
      <c r="A19" s="1073"/>
      <c r="B19" s="1190" t="s">
        <v>48</v>
      </c>
      <c r="C19" s="1209" t="s">
        <v>49</v>
      </c>
      <c r="D19" s="1198" t="s">
        <v>657</v>
      </c>
      <c r="E19" s="1187">
        <f t="shared" si="0"/>
        <v>746.99999999999989</v>
      </c>
      <c r="F19" s="1188">
        <f>'Повна собів'!E16</f>
        <v>477.05257886830242</v>
      </c>
      <c r="G19" s="1188">
        <f>'Повна собів'!F16</f>
        <v>250.62093139709563</v>
      </c>
      <c r="H19" s="1188">
        <f>'Повна собів'!G16</f>
        <v>19.326489734601903</v>
      </c>
    </row>
    <row r="20" spans="1:8" s="45" customFormat="1" ht="28.5">
      <c r="A20" s="1077"/>
      <c r="B20" s="1191" t="s">
        <v>50</v>
      </c>
      <c r="C20" s="1208" t="s">
        <v>51</v>
      </c>
      <c r="D20" s="1233" t="s">
        <v>657</v>
      </c>
      <c r="E20" s="1183">
        <f t="shared" si="0"/>
        <v>1040.7337513190087</v>
      </c>
      <c r="F20" s="1184">
        <f>'Повна собів'!E17</f>
        <v>664.63817936012811</v>
      </c>
      <c r="G20" s="1184">
        <f>'Повна собів'!F17</f>
        <v>349.16956103341806</v>
      </c>
      <c r="H20" s="1184">
        <f>'Повна собів'!G17</f>
        <v>26.926010925462588</v>
      </c>
    </row>
    <row r="21" spans="1:8" ht="15">
      <c r="A21" s="1073"/>
      <c r="B21" s="1190" t="s">
        <v>52</v>
      </c>
      <c r="C21" s="1209" t="s">
        <v>53</v>
      </c>
      <c r="D21" s="1198" t="s">
        <v>657</v>
      </c>
      <c r="E21" s="1187">
        <f t="shared" si="0"/>
        <v>693.54953107835786</v>
      </c>
      <c r="F21" s="1188">
        <f>'Повна собів'!E18</f>
        <v>442.91779434247991</v>
      </c>
      <c r="G21" s="1188">
        <f>'Повна собів'!F18</f>
        <v>232.68812509889821</v>
      </c>
      <c r="H21" s="1188">
        <f>'Повна собів'!G18</f>
        <v>17.943611636979714</v>
      </c>
    </row>
    <row r="22" spans="1:8" ht="15">
      <c r="A22" s="1073"/>
      <c r="B22" s="1186" t="s">
        <v>54</v>
      </c>
      <c r="C22" s="1209" t="s">
        <v>788</v>
      </c>
      <c r="D22" s="1198" t="s">
        <v>657</v>
      </c>
      <c r="E22" s="1187">
        <f t="shared" si="0"/>
        <v>152.58089683723873</v>
      </c>
      <c r="F22" s="1188">
        <f>'Повна собів'!E19</f>
        <v>97.441914755345579</v>
      </c>
      <c r="G22" s="1188">
        <f>'Повна собів'!F19</f>
        <v>51.191387521757605</v>
      </c>
      <c r="H22" s="1188">
        <f>'Повна собів'!G19</f>
        <v>3.9475945601355367</v>
      </c>
    </row>
    <row r="23" spans="1:8" ht="15">
      <c r="A23" s="1073"/>
      <c r="B23" s="1190" t="s">
        <v>55</v>
      </c>
      <c r="C23" s="1209" t="s">
        <v>56</v>
      </c>
      <c r="D23" s="1198" t="s">
        <v>657</v>
      </c>
      <c r="E23" s="1187">
        <f t="shared" si="0"/>
        <v>194.60332340341233</v>
      </c>
      <c r="F23" s="1188">
        <f>'Повна собів'!E20</f>
        <v>124.2784702623027</v>
      </c>
      <c r="G23" s="1188">
        <f>'Повна собів'!F20</f>
        <v>65.290048412762275</v>
      </c>
      <c r="H23" s="1188">
        <f>'Повна собів'!G20</f>
        <v>5.0348047283473392</v>
      </c>
    </row>
    <row r="24" spans="1:8" ht="15">
      <c r="A24" s="1073"/>
      <c r="B24" s="1186">
        <v>2</v>
      </c>
      <c r="C24" s="1208" t="s">
        <v>57</v>
      </c>
      <c r="D24" s="1233" t="s">
        <v>657</v>
      </c>
      <c r="E24" s="1183">
        <f>F24+G24+H24</f>
        <v>1125.9012196031613</v>
      </c>
      <c r="F24" s="1184">
        <f>'Повна собів'!E21</f>
        <v>719.02822003032793</v>
      </c>
      <c r="G24" s="1184">
        <f>'Повна собів'!F21</f>
        <v>377.74352385283828</v>
      </c>
      <c r="H24" s="1184">
        <f>'Повна собів'!G21</f>
        <v>29.129475719994989</v>
      </c>
    </row>
    <row r="25" spans="1:8" ht="15">
      <c r="A25" s="1073"/>
      <c r="B25" s="1190" t="s">
        <v>58</v>
      </c>
      <c r="C25" s="1209" t="s">
        <v>53</v>
      </c>
      <c r="D25" s="1198" t="s">
        <v>657</v>
      </c>
      <c r="E25" s="1187">
        <f>F25+G25+H25</f>
        <v>787.53603575770819</v>
      </c>
      <c r="F25" s="1188">
        <f>'Повна собів'!E22</f>
        <v>502.93988863445026</v>
      </c>
      <c r="G25" s="1188">
        <f>'Повна собів'!F22</f>
        <v>264.22090333383295</v>
      </c>
      <c r="H25" s="1188">
        <f>'Повна собів'!G22</f>
        <v>20.375243789424932</v>
      </c>
    </row>
    <row r="26" spans="1:8" ht="15">
      <c r="A26" s="1073"/>
      <c r="B26" s="1186" t="s">
        <v>59</v>
      </c>
      <c r="C26" s="1209" t="s">
        <v>788</v>
      </c>
      <c r="D26" s="1198" t="s">
        <v>657</v>
      </c>
      <c r="E26" s="1187">
        <f>F26+G26+H26</f>
        <v>162.35930015985443</v>
      </c>
      <c r="F26" s="1188">
        <f>'Повна собів'!E23</f>
        <v>103.68664370081839</v>
      </c>
      <c r="G26" s="1188">
        <f>'Повна собів'!F23</f>
        <v>54.472073664047301</v>
      </c>
      <c r="H26" s="1188">
        <f>'Повна собів'!G23</f>
        <v>4.2005827949887227</v>
      </c>
    </row>
    <row r="27" spans="1:8" ht="15">
      <c r="A27" s="1073"/>
      <c r="B27" s="1190" t="s">
        <v>60</v>
      </c>
      <c r="C27" s="1209" t="s">
        <v>56</v>
      </c>
      <c r="D27" s="1198" t="s">
        <v>657</v>
      </c>
      <c r="E27" s="1187">
        <f>F27+G27+H27</f>
        <v>176.0058836855986</v>
      </c>
      <c r="F27" s="1188">
        <f>'Повна собів'!E24</f>
        <v>112.40168769505929</v>
      </c>
      <c r="G27" s="1188">
        <f>'Повна собів'!F24</f>
        <v>59.050546854957965</v>
      </c>
      <c r="H27" s="1188">
        <f>'Повна собів'!G24</f>
        <v>4.5536491355813355</v>
      </c>
    </row>
    <row r="28" spans="1:8" ht="15">
      <c r="A28" s="1073"/>
      <c r="B28" s="1186">
        <v>3</v>
      </c>
      <c r="C28" s="1208" t="s">
        <v>61</v>
      </c>
      <c r="D28" s="1198" t="s">
        <v>657</v>
      </c>
      <c r="E28" s="1183">
        <f>F28+G28+H28</f>
        <v>0</v>
      </c>
      <c r="F28" s="1184">
        <v>0</v>
      </c>
      <c r="G28" s="1184">
        <v>0</v>
      </c>
      <c r="H28" s="1185">
        <f>H29+H30+H31</f>
        <v>0</v>
      </c>
    </row>
    <row r="29" spans="1:8" ht="15">
      <c r="A29" s="1073"/>
      <c r="B29" s="1190" t="s">
        <v>62</v>
      </c>
      <c r="C29" s="1209" t="s">
        <v>53</v>
      </c>
      <c r="D29" s="1198" t="s">
        <v>657</v>
      </c>
      <c r="E29" s="1187">
        <v>0</v>
      </c>
      <c r="F29" s="1188">
        <v>0</v>
      </c>
      <c r="G29" s="1188">
        <v>0</v>
      </c>
      <c r="H29" s="1189">
        <v>0</v>
      </c>
    </row>
    <row r="30" spans="1:8" ht="15">
      <c r="A30" s="1073"/>
      <c r="B30" s="1186" t="s">
        <v>63</v>
      </c>
      <c r="C30" s="1209" t="s">
        <v>788</v>
      </c>
      <c r="D30" s="1198" t="s">
        <v>657</v>
      </c>
      <c r="E30" s="1187">
        <v>0</v>
      </c>
      <c r="F30" s="1188">
        <v>0</v>
      </c>
      <c r="G30" s="1188">
        <v>0</v>
      </c>
      <c r="H30" s="1189">
        <v>0</v>
      </c>
    </row>
    <row r="31" spans="1:8" ht="15">
      <c r="A31" s="1073"/>
      <c r="B31" s="1190" t="s">
        <v>64</v>
      </c>
      <c r="C31" s="1209" t="s">
        <v>56</v>
      </c>
      <c r="D31" s="1198" t="s">
        <v>657</v>
      </c>
      <c r="E31" s="1187">
        <v>0</v>
      </c>
      <c r="F31" s="1188">
        <v>0</v>
      </c>
      <c r="G31" s="1188">
        <v>0</v>
      </c>
      <c r="H31" s="1189">
        <v>0</v>
      </c>
    </row>
    <row r="32" spans="1:8" ht="15">
      <c r="A32" s="1073"/>
      <c r="B32" s="1191">
        <v>4</v>
      </c>
      <c r="C32" s="1208" t="s">
        <v>267</v>
      </c>
      <c r="D32" s="1198" t="s">
        <v>657</v>
      </c>
      <c r="E32" s="1183">
        <f>F32+G32+H32</f>
        <v>0</v>
      </c>
      <c r="F32" s="1184">
        <v>0</v>
      </c>
      <c r="G32" s="1184">
        <v>0</v>
      </c>
      <c r="H32" s="1185">
        <v>0</v>
      </c>
    </row>
    <row r="33" spans="1:8" ht="15">
      <c r="A33" s="1073"/>
      <c r="B33" s="1213">
        <v>5</v>
      </c>
      <c r="C33" s="1208" t="s">
        <v>696</v>
      </c>
      <c r="D33" s="1198" t="s">
        <v>657</v>
      </c>
      <c r="E33" s="1183">
        <f>F33+G33+H33</f>
        <v>0</v>
      </c>
      <c r="F33" s="1184">
        <f>[4]СОБІВАР!F138</f>
        <v>0</v>
      </c>
      <c r="G33" s="1184">
        <f>[4]СОБІВАР!G138</f>
        <v>0</v>
      </c>
      <c r="H33" s="1185">
        <f>[4]СОБІВАР!H138</f>
        <v>0</v>
      </c>
    </row>
    <row r="34" spans="1:8" ht="15">
      <c r="A34" s="1073"/>
      <c r="B34" s="1213">
        <v>6</v>
      </c>
      <c r="C34" s="1208" t="s">
        <v>266</v>
      </c>
      <c r="D34" s="1198" t="s">
        <v>657</v>
      </c>
      <c r="E34" s="1183">
        <f>F34+G34+H34</f>
        <v>27612.526635016577</v>
      </c>
      <c r="F34" s="1184">
        <f>F8+F24+F28+F32+F33</f>
        <v>14358.180539390803</v>
      </c>
      <c r="G34" s="1184">
        <f>G8+G24+G28+G32+G33</f>
        <v>12305.420624576354</v>
      </c>
      <c r="H34" s="1185">
        <f>H8+H24+H28+H32+H33</f>
        <v>948.92547104942037</v>
      </c>
    </row>
    <row r="35" spans="1:8" ht="32.25" customHeight="1">
      <c r="A35" s="1073"/>
      <c r="B35" s="1191" t="s">
        <v>65</v>
      </c>
      <c r="C35" s="1208" t="s">
        <v>66</v>
      </c>
      <c r="D35" s="1198" t="s">
        <v>657</v>
      </c>
      <c r="E35" s="1187">
        <v>0</v>
      </c>
      <c r="F35" s="1188">
        <v>0</v>
      </c>
      <c r="G35" s="1188">
        <v>0</v>
      </c>
      <c r="H35" s="1189">
        <v>0</v>
      </c>
    </row>
    <row r="36" spans="1:8" ht="28.5">
      <c r="A36" s="1073"/>
      <c r="B36" s="1214" t="s">
        <v>67</v>
      </c>
      <c r="C36" s="1208" t="s">
        <v>265</v>
      </c>
      <c r="D36" s="1198" t="s">
        <v>657</v>
      </c>
      <c r="E36" s="1183">
        <f t="shared" ref="E36:E41" si="1">F36+G36+H36</f>
        <v>1346.6076989364885</v>
      </c>
      <c r="F36" s="1185">
        <f>F37+F40+F41</f>
        <v>700.2197485450107</v>
      </c>
      <c r="G36" s="1185">
        <f>G37+G40+G41</f>
        <v>600.11075301933965</v>
      </c>
      <c r="H36" s="1192">
        <f>H37+H40+H41</f>
        <v>46.27719737213814</v>
      </c>
    </row>
    <row r="37" spans="1:8" ht="15">
      <c r="A37" s="1073"/>
      <c r="B37" s="1106" t="s">
        <v>68</v>
      </c>
      <c r="C37" s="1209" t="s">
        <v>69</v>
      </c>
      <c r="D37" s="1198" t="s">
        <v>657</v>
      </c>
      <c r="E37" s="1187">
        <f t="shared" si="1"/>
        <v>242.10663353582538</v>
      </c>
      <c r="F37" s="1193">
        <f>(F40+F41)*0.2192</f>
        <v>125.89252696937858</v>
      </c>
      <c r="G37" s="1193">
        <f>(G40+G41)*0.2192</f>
        <v>107.89392803628549</v>
      </c>
      <c r="H37" s="1194">
        <f>(H40+H41)*0.2192</f>
        <v>8.3201785301613196</v>
      </c>
    </row>
    <row r="38" spans="1:8" ht="15">
      <c r="A38" s="1073"/>
      <c r="B38" s="1106" t="s">
        <v>70</v>
      </c>
      <c r="C38" s="1209" t="s">
        <v>71</v>
      </c>
      <c r="D38" s="1198" t="s">
        <v>657</v>
      </c>
      <c r="E38" s="1195">
        <f t="shared" si="1"/>
        <v>0</v>
      </c>
      <c r="F38" s="1196">
        <v>0</v>
      </c>
      <c r="G38" s="1196">
        <v>0</v>
      </c>
      <c r="H38" s="1197">
        <v>0</v>
      </c>
    </row>
    <row r="39" spans="1:8" ht="15">
      <c r="A39" s="1073"/>
      <c r="B39" s="1106" t="s">
        <v>72</v>
      </c>
      <c r="C39" s="1209" t="s">
        <v>73</v>
      </c>
      <c r="D39" s="1198" t="s">
        <v>657</v>
      </c>
      <c r="E39" s="1195">
        <f t="shared" si="1"/>
        <v>0</v>
      </c>
      <c r="F39" s="1196">
        <v>0</v>
      </c>
      <c r="G39" s="1196">
        <v>0</v>
      </c>
      <c r="H39" s="1197">
        <v>0</v>
      </c>
    </row>
    <row r="40" spans="1:8" ht="16.5" customHeight="1">
      <c r="A40" s="1073"/>
      <c r="B40" s="1106" t="s">
        <v>74</v>
      </c>
      <c r="C40" s="1209" t="s">
        <v>75</v>
      </c>
      <c r="D40" s="1198" t="s">
        <v>657</v>
      </c>
      <c r="E40" s="1187">
        <v>0</v>
      </c>
      <c r="F40" s="1188">
        <v>0</v>
      </c>
      <c r="G40" s="1188">
        <v>0</v>
      </c>
      <c r="H40" s="1188">
        <v>0</v>
      </c>
    </row>
    <row r="41" spans="1:8" ht="32.25" customHeight="1">
      <c r="A41" s="1073"/>
      <c r="B41" s="1106" t="s">
        <v>76</v>
      </c>
      <c r="C41" s="1209" t="s">
        <v>362</v>
      </c>
      <c r="D41" s="1198" t="s">
        <v>657</v>
      </c>
      <c r="E41" s="1187">
        <f t="shared" si="1"/>
        <v>1104.5010654006633</v>
      </c>
      <c r="F41" s="1188">
        <f>F34*0.04</f>
        <v>574.32722157563217</v>
      </c>
      <c r="G41" s="1188">
        <f>G34*0.04</f>
        <v>492.21682498305421</v>
      </c>
      <c r="H41" s="1188">
        <f>H34*0.04</f>
        <v>37.957018841976819</v>
      </c>
    </row>
    <row r="42" spans="1:8" ht="15">
      <c r="A42" s="1073"/>
      <c r="B42" s="1106" t="s">
        <v>78</v>
      </c>
      <c r="C42" s="1209" t="s">
        <v>79</v>
      </c>
      <c r="D42" s="1198" t="s">
        <v>492</v>
      </c>
      <c r="E42" s="1187">
        <f>E36/E34*100</f>
        <v>4.8768000000000002</v>
      </c>
      <c r="F42" s="1187">
        <f>F36/F34*100</f>
        <v>4.8768000000000002</v>
      </c>
      <c r="G42" s="1187">
        <f>G36/G34*100</f>
        <v>4.8768000000000002</v>
      </c>
      <c r="H42" s="1187">
        <f>H36/H34*100</f>
        <v>4.8768000000000002</v>
      </c>
    </row>
    <row r="43" spans="1:8" ht="28.5" customHeight="1">
      <c r="A43" s="1073"/>
      <c r="B43" s="1215">
        <v>9</v>
      </c>
      <c r="C43" s="1208" t="s">
        <v>264</v>
      </c>
      <c r="D43" s="1198" t="s">
        <v>657</v>
      </c>
      <c r="E43" s="1183">
        <f>F43+G43+H43</f>
        <v>28959.134333953069</v>
      </c>
      <c r="F43" s="1199">
        <f>F34+F35+F36</f>
        <v>15058.400287935814</v>
      </c>
      <c r="G43" s="1199">
        <f>G34+G35+G36</f>
        <v>12905.531377595695</v>
      </c>
      <c r="H43" s="1199">
        <f>H34+H35+H36</f>
        <v>995.20266842155854</v>
      </c>
    </row>
    <row r="44" spans="1:8" ht="30">
      <c r="A44" s="1073"/>
      <c r="B44" s="1200">
        <v>10</v>
      </c>
      <c r="C44" s="1210" t="s">
        <v>80</v>
      </c>
      <c r="D44" s="1201" t="s">
        <v>81</v>
      </c>
      <c r="E44" s="1202">
        <f>E43/E50*1000</f>
        <v>2151.0164401658676</v>
      </c>
      <c r="F44" s="1203">
        <f>F43/F50*1000</f>
        <v>1751.4241977368006</v>
      </c>
      <c r="G44" s="1203">
        <f>G43/G50*1000</f>
        <v>2857.1780658164948</v>
      </c>
      <c r="H44" s="1203">
        <f>H43/H50*1000</f>
        <v>2857.1780658164948</v>
      </c>
    </row>
    <row r="45" spans="1:8" ht="13.5" customHeight="1">
      <c r="A45" s="1073"/>
      <c r="B45" s="1106" t="s">
        <v>82</v>
      </c>
      <c r="C45" s="1210" t="s">
        <v>83</v>
      </c>
      <c r="D45" s="1201" t="s">
        <v>81</v>
      </c>
      <c r="E45" s="1204">
        <f>E10/E50*1000</f>
        <v>1541.5451203814414</v>
      </c>
      <c r="F45" s="1189">
        <f>F10/F50*1000</f>
        <v>1160.5340269565213</v>
      </c>
      <c r="G45" s="1189">
        <f>G10/G50*1000</f>
        <v>2214.8700365217392</v>
      </c>
      <c r="H45" s="1189">
        <f>H10/H50*1000</f>
        <v>2214.8700365217392</v>
      </c>
    </row>
    <row r="46" spans="1:8" ht="13.5" customHeight="1">
      <c r="A46" s="1073"/>
      <c r="B46" s="1106" t="s">
        <v>84</v>
      </c>
      <c r="C46" s="1210" t="s">
        <v>85</v>
      </c>
      <c r="D46" s="1201" t="s">
        <v>81</v>
      </c>
      <c r="E46" s="1205">
        <f>E44-E45</f>
        <v>609.47131978442621</v>
      </c>
      <c r="F46" s="1206">
        <f>F44-F45</f>
        <v>590.89017078027928</v>
      </c>
      <c r="G46" s="1206">
        <f>G44-G45</f>
        <v>642.30802929475567</v>
      </c>
      <c r="H46" s="1206">
        <f>H44-H45</f>
        <v>642.30802929475567</v>
      </c>
    </row>
    <row r="47" spans="1:8" ht="15">
      <c r="A47" s="1073"/>
      <c r="B47" s="1182">
        <v>11</v>
      </c>
      <c r="C47" s="1209" t="s">
        <v>86</v>
      </c>
      <c r="D47" s="1198" t="s">
        <v>732</v>
      </c>
      <c r="E47" s="1187">
        <f>F47+G47+H47</f>
        <v>11982</v>
      </c>
      <c r="F47" s="1176">
        <v>7652</v>
      </c>
      <c r="G47" s="1176">
        <v>4020</v>
      </c>
      <c r="H47" s="1176">
        <v>310</v>
      </c>
    </row>
    <row r="48" spans="1:8" ht="15" customHeight="1">
      <c r="A48" s="1073"/>
      <c r="B48" s="1182">
        <v>12</v>
      </c>
      <c r="C48" s="1209" t="s">
        <v>87</v>
      </c>
      <c r="D48" s="1198" t="s">
        <v>732</v>
      </c>
      <c r="E48" s="1187">
        <v>0</v>
      </c>
      <c r="F48" s="1188">
        <v>0</v>
      </c>
      <c r="G48" s="1188">
        <v>0</v>
      </c>
      <c r="H48" s="1189">
        <v>0</v>
      </c>
    </row>
    <row r="49" spans="1:27" ht="15" customHeight="1">
      <c r="A49" s="1073"/>
      <c r="B49" s="1182">
        <v>13</v>
      </c>
      <c r="C49" s="1209" t="s">
        <v>88</v>
      </c>
      <c r="D49" s="1201" t="s">
        <v>81</v>
      </c>
      <c r="E49" s="1187">
        <v>0</v>
      </c>
      <c r="F49" s="1188">
        <v>0</v>
      </c>
      <c r="G49" s="1188">
        <v>0</v>
      </c>
      <c r="H49" s="1189">
        <v>0</v>
      </c>
    </row>
    <row r="50" spans="1:27" ht="30">
      <c r="A50" s="1073"/>
      <c r="B50" s="1182">
        <v>14</v>
      </c>
      <c r="C50" s="1209" t="s">
        <v>89</v>
      </c>
      <c r="D50" s="1201" t="s">
        <v>732</v>
      </c>
      <c r="E50" s="1187">
        <f>SUM(F50:H50)</f>
        <v>13462.999999999998</v>
      </c>
      <c r="F50" s="1188">
        <f>Паливо!D7</f>
        <v>8597.8030378901676</v>
      </c>
      <c r="G50" s="1188">
        <f>Паливо!E7</f>
        <v>4516.8803204807209</v>
      </c>
      <c r="H50" s="1189">
        <f>Паливо!F7</f>
        <v>348.31664162911034</v>
      </c>
    </row>
    <row r="51" spans="1:27" ht="30">
      <c r="A51" s="1073"/>
      <c r="B51" s="1182">
        <v>15</v>
      </c>
      <c r="C51" s="1211" t="s">
        <v>90</v>
      </c>
      <c r="D51" s="1207" t="s">
        <v>81</v>
      </c>
      <c r="E51" s="1204">
        <f>E34/E50*1000</f>
        <v>2050.9935850120019</v>
      </c>
      <c r="F51" s="1189">
        <f>F34/F50*1000</f>
        <v>1669.9824915870818</v>
      </c>
      <c r="G51" s="1189">
        <f>G34/G50*1000</f>
        <v>2724.3185011522992</v>
      </c>
      <c r="H51" s="1189">
        <f>H34/H50*1000</f>
        <v>2724.3185011522992</v>
      </c>
    </row>
    <row r="53" spans="1:27" s="662" customFormat="1" ht="31.5" customHeight="1">
      <c r="A53" s="1177"/>
      <c r="B53" s="1178"/>
      <c r="C53" s="1179" t="s">
        <v>371</v>
      </c>
      <c r="D53" s="1178"/>
      <c r="E53" s="1180"/>
      <c r="F53" s="1180"/>
      <c r="G53" s="1447" t="s">
        <v>370</v>
      </c>
      <c r="H53" s="1447"/>
    </row>
    <row r="54" spans="1:27" ht="47.25" customHeight="1">
      <c r="E54" s="1443"/>
      <c r="F54" s="1443"/>
      <c r="G54" s="1443"/>
    </row>
    <row r="56" spans="1:27">
      <c r="H56" s="1079"/>
    </row>
    <row r="57" spans="1:27">
      <c r="E57" s="1080"/>
      <c r="F57" s="1080"/>
      <c r="G57" s="1081"/>
    </row>
    <row r="64" spans="1:27" s="1067" customFormat="1">
      <c r="A64" s="1063"/>
      <c r="B64" s="1064"/>
      <c r="C64" s="1065"/>
      <c r="D64" s="1064"/>
      <c r="E64" s="1066"/>
      <c r="F64" s="1066"/>
      <c r="G64" s="1066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</sheetData>
  <mergeCells count="9">
    <mergeCell ref="E54:G54"/>
    <mergeCell ref="B2:H2"/>
    <mergeCell ref="B3:H3"/>
    <mergeCell ref="B5:B6"/>
    <mergeCell ref="C5:C6"/>
    <mergeCell ref="D5:D6"/>
    <mergeCell ref="E5:E6"/>
    <mergeCell ref="F5:H5"/>
    <mergeCell ref="G53:H53"/>
  </mergeCells>
  <phoneticPr fontId="51" type="noConversion"/>
  <pageMargins left="0.23622047244094491" right="0" top="0.19685039370078741" bottom="0.59055118110236227" header="0.11811023622047245" footer="0.47244094488188981"/>
  <pageSetup paperSize="9"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M188"/>
  <sheetViews>
    <sheetView zoomScaleSheetLayoutView="75" workbookViewId="0">
      <selection activeCell="E39" sqref="E39:F39"/>
    </sheetView>
  </sheetViews>
  <sheetFormatPr defaultRowHeight="12.75"/>
  <cols>
    <col min="1" max="1" width="0.28515625" customWidth="1"/>
    <col min="2" max="2" width="62.85546875" customWidth="1"/>
    <col min="3" max="3" width="16.28515625" customWidth="1"/>
    <col min="4" max="4" width="16.140625" customWidth="1"/>
    <col min="5" max="5" width="15.140625" customWidth="1"/>
    <col min="6" max="6" width="16.140625" customWidth="1"/>
    <col min="7" max="7" width="16.42578125" customWidth="1"/>
  </cols>
  <sheetData>
    <row r="1" spans="2:13" ht="42" customHeight="1">
      <c r="F1" s="644" t="s">
        <v>191</v>
      </c>
    </row>
    <row r="2" spans="2:13" ht="60.75" customHeight="1">
      <c r="B2" s="1463" t="s">
        <v>941</v>
      </c>
      <c r="C2" s="1463"/>
      <c r="D2" s="1463"/>
      <c r="E2" s="1463"/>
      <c r="F2" s="1463"/>
    </row>
    <row r="3" spans="2:13" ht="24" customHeight="1" thickBot="1">
      <c r="B3" s="880"/>
      <c r="C3" s="880"/>
      <c r="D3" s="880"/>
      <c r="E3" s="880"/>
      <c r="F3" s="910" t="s">
        <v>996</v>
      </c>
    </row>
    <row r="4" spans="2:13" ht="17.25" customHeight="1" thickBot="1">
      <c r="B4" s="1453" t="s">
        <v>701</v>
      </c>
      <c r="C4" s="1448" t="s">
        <v>994</v>
      </c>
      <c r="D4" s="1450" t="s">
        <v>505</v>
      </c>
      <c r="E4" s="1451"/>
      <c r="F4" s="1452"/>
      <c r="G4" s="6"/>
    </row>
    <row r="5" spans="2:13" ht="33" customHeight="1" thickBot="1">
      <c r="B5" s="1454"/>
      <c r="C5" s="1455"/>
      <c r="D5" s="340" t="s">
        <v>698</v>
      </c>
      <c r="E5" s="344" t="s">
        <v>495</v>
      </c>
      <c r="F5" s="339" t="s">
        <v>499</v>
      </c>
    </row>
    <row r="6" spans="2:13" s="3" customFormat="1" ht="30" customHeight="1">
      <c r="B6" s="981" t="s">
        <v>490</v>
      </c>
      <c r="C6" s="982">
        <f>C7+C12+C13</f>
        <v>25445.891664094404</v>
      </c>
      <c r="D6" s="982">
        <f>D7+D12+D13</f>
        <v>12974.514140000347</v>
      </c>
      <c r="E6" s="982">
        <f>E7+E12+E13</f>
        <v>11578.507539690099</v>
      </c>
      <c r="F6" s="982">
        <f>F7+F12+F13</f>
        <v>892.8699844039628</v>
      </c>
      <c r="G6" s="47"/>
      <c r="J6" s="20"/>
    </row>
    <row r="7" spans="2:13" s="3" customFormat="1" ht="30" customHeight="1">
      <c r="B7" s="350" t="s">
        <v>737</v>
      </c>
      <c r="C7" s="547">
        <f>SUM(C8:C11)</f>
        <v>20976.363019695345</v>
      </c>
      <c r="D7" s="547">
        <f>SUM(D8:D11)</f>
        <v>10120.163181317188</v>
      </c>
      <c r="E7" s="547">
        <f>SUM(E8:E11)</f>
        <v>10078.966131704436</v>
      </c>
      <c r="F7" s="547">
        <f>SUM(F8:F11)</f>
        <v>777.23370667372512</v>
      </c>
      <c r="G7" s="47"/>
      <c r="J7" s="20"/>
    </row>
    <row r="8" spans="2:13" s="3" customFormat="1" ht="30" customHeight="1">
      <c r="B8" s="351" t="s">
        <v>385</v>
      </c>
      <c r="C8" s="545">
        <f>Паливо!C19</f>
        <v>20753.821955695345</v>
      </c>
      <c r="D8" s="545">
        <f>Паливо!D19</f>
        <v>9978.0429825416904</v>
      </c>
      <c r="E8" s="545">
        <f>Паливо!E19</f>
        <v>10004.30288038746</v>
      </c>
      <c r="F8" s="545">
        <f>Паливо!F19</f>
        <v>771.47609276619721</v>
      </c>
      <c r="G8" s="1469"/>
      <c r="H8" s="1470"/>
      <c r="I8" s="1470"/>
      <c r="J8" s="1470"/>
      <c r="K8" s="1470"/>
      <c r="L8" s="1470"/>
      <c r="M8" s="1470"/>
    </row>
    <row r="9" spans="2:13" s="3" customFormat="1" ht="30" customHeight="1">
      <c r="B9" s="352" t="s">
        <v>707</v>
      </c>
      <c r="C9" s="545">
        <f>Електр_енерг!F20</f>
        <v>129.55606399999999</v>
      </c>
      <c r="D9" s="545">
        <f>C9*$D$17</f>
        <v>82.737690012351848</v>
      </c>
      <c r="E9" s="545">
        <f>C9*$E$17</f>
        <v>43.466481161742607</v>
      </c>
      <c r="F9" s="545">
        <f>C9*$F$17</f>
        <v>3.3518928259055247</v>
      </c>
      <c r="G9" s="1471"/>
      <c r="H9" s="1472"/>
      <c r="I9" s="1472"/>
      <c r="J9" s="1472"/>
    </row>
    <row r="10" spans="2:13" s="3" customFormat="1" ht="30" customHeight="1">
      <c r="B10" s="352" t="s">
        <v>714</v>
      </c>
      <c r="C10" s="545">
        <f>Вода_Водовід!M12+Вода_Водовід!M18</f>
        <v>57.914999999999999</v>
      </c>
      <c r="D10" s="545">
        <f>C10*$D$17</f>
        <v>36.985943915873811</v>
      </c>
      <c r="E10" s="545">
        <f>C10*$E$17</f>
        <v>19.430671006509762</v>
      </c>
      <c r="F10" s="545">
        <f>C10*$F$17</f>
        <v>1.4983850776164245</v>
      </c>
      <c r="G10" s="47"/>
      <c r="J10" s="20"/>
    </row>
    <row r="11" spans="2:13" s="3" customFormat="1" ht="30" customHeight="1">
      <c r="B11" s="352" t="s">
        <v>387</v>
      </c>
      <c r="C11" s="546">
        <v>35.07</v>
      </c>
      <c r="D11" s="545">
        <f>C11*$D$17</f>
        <v>22.396564847270906</v>
      </c>
      <c r="E11" s="545">
        <f>C11*$E$17</f>
        <v>11.766099148723084</v>
      </c>
      <c r="F11" s="545">
        <f>C11*$F$17</f>
        <v>0.907336004006009</v>
      </c>
      <c r="G11" s="1471"/>
      <c r="H11" s="1472"/>
      <c r="I11" s="1472"/>
      <c r="J11" s="1472"/>
    </row>
    <row r="12" spans="2:13" s="46" customFormat="1" ht="30" customHeight="1">
      <c r="B12" s="353" t="s">
        <v>738</v>
      </c>
      <c r="C12" s="547">
        <f>'ЗП_Всього по під-ву'!E8</f>
        <v>2949.1707543936</v>
      </c>
      <c r="D12" s="1028">
        <f t="shared" ref="D12:F15" si="0">$C12*D$17</f>
        <v>1883.4130038908218</v>
      </c>
      <c r="E12" s="1028">
        <f t="shared" si="0"/>
        <v>989.45638730281019</v>
      </c>
      <c r="F12" s="1028">
        <f t="shared" si="0"/>
        <v>76.301363199967952</v>
      </c>
      <c r="G12" s="47"/>
    </row>
    <row r="13" spans="2:13" s="36" customFormat="1" ht="30" customHeight="1">
      <c r="B13" s="353" t="s">
        <v>491</v>
      </c>
      <c r="C13" s="547">
        <f>C14+C15+C16</f>
        <v>1520.357890005459</v>
      </c>
      <c r="D13" s="1028">
        <f t="shared" si="0"/>
        <v>970.93795479233609</v>
      </c>
      <c r="E13" s="1028">
        <f t="shared" si="0"/>
        <v>510.08502068285304</v>
      </c>
      <c r="F13" s="1028">
        <f t="shared" si="0"/>
        <v>39.334914530269764</v>
      </c>
      <c r="G13" s="47"/>
    </row>
    <row r="14" spans="2:13" s="3" customFormat="1" ht="30" customHeight="1">
      <c r="B14" s="362" t="s">
        <v>788</v>
      </c>
      <c r="C14" s="545">
        <f>'ЗП_Всього по під-ву'!E37</f>
        <v>630.23489000545908</v>
      </c>
      <c r="D14" s="545">
        <f t="shared" si="0"/>
        <v>402.48350678699489</v>
      </c>
      <c r="E14" s="545">
        <f t="shared" si="0"/>
        <v>211.44585693723462</v>
      </c>
      <c r="F14" s="545">
        <f t="shared" si="0"/>
        <v>16.305526281229536</v>
      </c>
      <c r="G14" s="47"/>
    </row>
    <row r="15" spans="2:13" s="3" customFormat="1" ht="30" customHeight="1">
      <c r="B15" s="352" t="s">
        <v>739</v>
      </c>
      <c r="C15" s="545">
        <f>'Амортизація '!E10</f>
        <v>143.12299999999999</v>
      </c>
      <c r="D15" s="545">
        <f t="shared" si="0"/>
        <v>91.401869137038886</v>
      </c>
      <c r="E15" s="545">
        <f t="shared" si="0"/>
        <v>48.01823234852278</v>
      </c>
      <c r="F15" s="545">
        <f t="shared" si="0"/>
        <v>3.7028985144383237</v>
      </c>
      <c r="G15" s="47"/>
    </row>
    <row r="16" spans="2:13" s="36" customFormat="1" ht="30" customHeight="1" thickBot="1">
      <c r="B16" s="354" t="s">
        <v>764</v>
      </c>
      <c r="C16" s="952">
        <v>747</v>
      </c>
      <c r="D16" s="649">
        <f>C16*D17</f>
        <v>477.05257886830242</v>
      </c>
      <c r="E16" s="649">
        <f>$C16*E$17</f>
        <v>250.62093139709563</v>
      </c>
      <c r="F16" s="649">
        <f>$C16*F$17</f>
        <v>19.326489734601903</v>
      </c>
      <c r="G16" s="47"/>
    </row>
    <row r="17" spans="1:7" s="36" customFormat="1" ht="17.25" customHeight="1">
      <c r="B17" s="912" t="s">
        <v>1004</v>
      </c>
      <c r="C17" s="913"/>
      <c r="D17" s="1053">
        <f>Паливо!C26</f>
        <v>0.63862460357202466</v>
      </c>
      <c r="E17" s="1053">
        <f>Паливо!D26</f>
        <v>0.33550325488232347</v>
      </c>
      <c r="F17" s="1053">
        <f>Паливо!E26</f>
        <v>2.587214154565181E-2</v>
      </c>
      <c r="G17" s="47"/>
    </row>
    <row r="18" spans="1:7" s="36" customFormat="1" ht="17.25" customHeight="1">
      <c r="B18" s="509"/>
      <c r="C18" s="510"/>
      <c r="D18" s="543"/>
      <c r="E18" s="543"/>
      <c r="F18" s="543"/>
      <c r="G18" s="47"/>
    </row>
    <row r="19" spans="1:7" s="36" customFormat="1" ht="17.25" customHeight="1">
      <c r="B19" s="355"/>
      <c r="C19" s="356"/>
      <c r="D19" s="535"/>
      <c r="E19" s="535"/>
      <c r="F19" s="535"/>
      <c r="G19" s="47"/>
    </row>
    <row r="20" spans="1:7" ht="60" customHeight="1">
      <c r="A20" s="13"/>
      <c r="B20" s="1463" t="s">
        <v>942</v>
      </c>
      <c r="C20" s="1463"/>
      <c r="D20" s="1463"/>
      <c r="E20" s="1463"/>
      <c r="F20" s="1463"/>
    </row>
    <row r="21" spans="1:7" ht="24" customHeight="1" thickBot="1">
      <c r="B21" s="880"/>
      <c r="C21" s="880"/>
      <c r="D21" s="880"/>
      <c r="E21" s="880"/>
      <c r="F21" s="910" t="s">
        <v>996</v>
      </c>
    </row>
    <row r="22" spans="1:7" ht="17.25" customHeight="1" thickBot="1">
      <c r="A22" s="13"/>
      <c r="B22" s="1453" t="s">
        <v>701</v>
      </c>
      <c r="C22" s="1448" t="s">
        <v>994</v>
      </c>
      <c r="D22" s="1464" t="s">
        <v>505</v>
      </c>
      <c r="E22" s="1465"/>
      <c r="F22" s="1466"/>
    </row>
    <row r="23" spans="1:7" ht="37.5" customHeight="1" thickBot="1">
      <c r="A23" s="13"/>
      <c r="B23" s="1454"/>
      <c r="C23" s="1455"/>
      <c r="D23" s="340" t="s">
        <v>698</v>
      </c>
      <c r="E23" s="344" t="s">
        <v>495</v>
      </c>
      <c r="F23" s="339" t="s">
        <v>499</v>
      </c>
    </row>
    <row r="24" spans="1:7" ht="30" customHeight="1">
      <c r="A24" s="13"/>
      <c r="B24" s="981" t="s">
        <v>490</v>
      </c>
      <c r="C24" s="982">
        <f>C25+C30+C31</f>
        <v>6615.3912165573993</v>
      </c>
      <c r="D24" s="982">
        <f>D25+D30+D31</f>
        <v>4224.7515931478229</v>
      </c>
      <c r="E24" s="982">
        <f>E25+E30+E31</f>
        <v>2219.4852854749411</v>
      </c>
      <c r="F24" s="982">
        <f>F25+F30+F31</f>
        <v>171.15433793463475</v>
      </c>
      <c r="G24" s="47"/>
    </row>
    <row r="25" spans="1:7" ht="30" customHeight="1">
      <c r="A25" s="13"/>
      <c r="B25" s="350" t="s">
        <v>737</v>
      </c>
      <c r="C25" s="547">
        <f>SUM(C26:C29)</f>
        <v>1986.7197090000002</v>
      </c>
      <c r="D25" s="547">
        <f>C25*D36</f>
        <v>1268.7680865688533</v>
      </c>
      <c r="E25" s="547">
        <f>C25*E36</f>
        <v>666.55092890836261</v>
      </c>
      <c r="F25" s="547">
        <f>C25*F36</f>
        <v>51.400693522784181</v>
      </c>
      <c r="G25" s="47"/>
    </row>
    <row r="26" spans="1:7" ht="30" customHeight="1">
      <c r="A26" s="13"/>
      <c r="B26" s="351" t="s">
        <v>385</v>
      </c>
      <c r="C26" s="546">
        <v>0</v>
      </c>
      <c r="D26" s="546">
        <f>C26*D36</f>
        <v>0</v>
      </c>
      <c r="E26" s="546">
        <f>C26*E36</f>
        <v>0</v>
      </c>
      <c r="F26" s="546">
        <f>C26*F36</f>
        <v>0</v>
      </c>
      <c r="G26" s="47"/>
    </row>
    <row r="27" spans="1:7" ht="30" customHeight="1">
      <c r="A27" s="13"/>
      <c r="B27" s="352" t="s">
        <v>715</v>
      </c>
      <c r="C27" s="545">
        <f>Електр_енерг!G20</f>
        <v>1588.129044</v>
      </c>
      <c r="D27" s="545">
        <f>C27*$D$36</f>
        <v>1014.2182811457185</v>
      </c>
      <c r="E27" s="545">
        <f>C27*$E$36</f>
        <v>532.82246343515271</v>
      </c>
      <c r="F27" s="545">
        <f>C27*$F$36</f>
        <v>41.088299419128688</v>
      </c>
      <c r="G27" s="47"/>
    </row>
    <row r="28" spans="1:7" ht="30" customHeight="1">
      <c r="A28" s="13"/>
      <c r="B28" s="352" t="s">
        <v>384</v>
      </c>
      <c r="C28" s="545">
        <f>Вода_Водовід!N12</f>
        <v>130.02275</v>
      </c>
      <c r="D28" s="545">
        <f t="shared" ref="D28:D33" si="1">C28*$D$36</f>
        <v>83.035727174094475</v>
      </c>
      <c r="E28" s="545">
        <f t="shared" ref="E28:E33" si="2">C28*$E$36</f>
        <v>43.623055833750627</v>
      </c>
      <c r="F28" s="545">
        <f t="shared" ref="F28:F33" si="3">C28*$F$36</f>
        <v>3.3639669921548987</v>
      </c>
      <c r="G28" s="47"/>
    </row>
    <row r="29" spans="1:7" ht="30" customHeight="1">
      <c r="A29" s="13"/>
      <c r="B29" s="352" t="s">
        <v>1016</v>
      </c>
      <c r="C29" s="545">
        <f>'ПММ всього'!M20</f>
        <v>268.56791500000003</v>
      </c>
      <c r="D29" s="545">
        <f t="shared" si="1"/>
        <v>171.51407824904024</v>
      </c>
      <c r="E29" s="545">
        <f t="shared" si="2"/>
        <v>90.105409639459197</v>
      </c>
      <c r="F29" s="545">
        <f t="shared" si="3"/>
        <v>6.9484271115005845</v>
      </c>
      <c r="G29" s="47"/>
    </row>
    <row r="30" spans="1:7" ht="30" customHeight="1">
      <c r="A30" s="13"/>
      <c r="B30" s="353" t="s">
        <v>738</v>
      </c>
      <c r="C30" s="547">
        <f>'ЗП_Всього по під-ву'!F8</f>
        <v>843.79426897920007</v>
      </c>
      <c r="D30" s="545">
        <f t="shared" si="1"/>
        <v>538.867780523188</v>
      </c>
      <c r="E30" s="545">
        <f t="shared" si="2"/>
        <v>283.09572369357238</v>
      </c>
      <c r="F30" s="545">
        <f t="shared" si="3"/>
        <v>21.83076476243966</v>
      </c>
      <c r="G30" s="47"/>
    </row>
    <row r="31" spans="1:7" ht="30" customHeight="1">
      <c r="A31" s="13"/>
      <c r="B31" s="353" t="s">
        <v>491</v>
      </c>
      <c r="C31" s="547">
        <f>SUM(C32:C35)</f>
        <v>3784.877238578199</v>
      </c>
      <c r="D31" s="1028">
        <f t="shared" si="1"/>
        <v>2417.1157260557816</v>
      </c>
      <c r="E31" s="1028">
        <f t="shared" si="2"/>
        <v>1269.8386328730062</v>
      </c>
      <c r="F31" s="1028">
        <f t="shared" si="3"/>
        <v>97.922879649410916</v>
      </c>
      <c r="G31" s="47"/>
    </row>
    <row r="32" spans="1:7" ht="30" customHeight="1">
      <c r="A32" s="13"/>
      <c r="B32" s="362" t="s">
        <v>788</v>
      </c>
      <c r="C32" s="545">
        <f>'ЗП_Всього по під-ву'!F37</f>
        <v>185.63473917542399</v>
      </c>
      <c r="D32" s="545">
        <f t="shared" si="1"/>
        <v>118.55091171510134</v>
      </c>
      <c r="E32" s="545">
        <f t="shared" si="2"/>
        <v>62.281059212585909</v>
      </c>
      <c r="F32" s="545">
        <f t="shared" si="3"/>
        <v>4.8027682477367248</v>
      </c>
      <c r="G32" s="47"/>
    </row>
    <row r="33" spans="1:7" ht="30" customHeight="1">
      <c r="A33" s="13"/>
      <c r="B33" s="352" t="s">
        <v>739</v>
      </c>
      <c r="C33" s="545">
        <f>'Амортизація '!F10</f>
        <v>2.2210000000000001</v>
      </c>
      <c r="D33" s="545">
        <f t="shared" si="1"/>
        <v>1.4183852445334668</v>
      </c>
      <c r="E33" s="545">
        <f t="shared" si="2"/>
        <v>0.7451527290936405</v>
      </c>
      <c r="F33" s="545">
        <f t="shared" si="3"/>
        <v>5.7462026372892674E-2</v>
      </c>
      <c r="G33" s="47"/>
    </row>
    <row r="34" spans="1:7" ht="30" customHeight="1" thickBot="1">
      <c r="A34" s="13"/>
      <c r="B34" s="648" t="s">
        <v>764</v>
      </c>
      <c r="C34" s="952">
        <v>559.5</v>
      </c>
      <c r="D34" s="649">
        <f>C34*D36</f>
        <v>357.31046569854777</v>
      </c>
      <c r="E34" s="649">
        <f>C34*E36</f>
        <v>187.71407110665999</v>
      </c>
      <c r="F34" s="649">
        <f>C34*F36</f>
        <v>14.475463194792187</v>
      </c>
      <c r="G34" s="47"/>
    </row>
    <row r="35" spans="1:7" s="538" customFormat="1" ht="30" customHeight="1">
      <c r="A35" s="788"/>
      <c r="B35" s="789" t="s">
        <v>944</v>
      </c>
      <c r="C35" s="790">
        <f>Втрати!D8</f>
        <v>3037.5214994027751</v>
      </c>
      <c r="D35" s="790">
        <f>Втрати!D5</f>
        <v>1579.4745137664547</v>
      </c>
      <c r="E35" s="790">
        <f>Втрати!D6</f>
        <v>1353.6602499441124</v>
      </c>
      <c r="F35" s="790">
        <f>Втрати!D7</f>
        <v>104.38673569220764</v>
      </c>
      <c r="G35" s="791"/>
    </row>
    <row r="36" spans="1:7" ht="17.25" customHeight="1">
      <c r="A36" s="13"/>
      <c r="B36" s="912" t="s">
        <v>1004</v>
      </c>
      <c r="C36" s="913"/>
      <c r="D36" s="1053">
        <f>Паливо!C26</f>
        <v>0.63862460357202466</v>
      </c>
      <c r="E36" s="1053">
        <f>Паливо!D26</f>
        <v>0.33550325488232347</v>
      </c>
      <c r="F36" s="1053">
        <f>Паливо!E26</f>
        <v>2.587214154565181E-2</v>
      </c>
      <c r="G36" s="47"/>
    </row>
    <row r="37" spans="1:7" ht="17.25" customHeight="1">
      <c r="A37" s="13"/>
      <c r="B37" s="509"/>
      <c r="C37" s="510"/>
      <c r="D37" s="543"/>
      <c r="E37" s="543"/>
      <c r="F37" s="543"/>
      <c r="G37" s="47"/>
    </row>
    <row r="38" spans="1:7" s="84" customFormat="1" ht="59.25" customHeight="1">
      <c r="A38" s="645"/>
      <c r="B38" s="646" t="s">
        <v>368</v>
      </c>
      <c r="C38" s="646"/>
      <c r="D38" s="646"/>
      <c r="E38" s="1456" t="s">
        <v>369</v>
      </c>
      <c r="F38" s="1456"/>
      <c r="G38" s="647"/>
    </row>
    <row r="39" spans="1:7" s="84" customFormat="1" ht="42" customHeight="1">
      <c r="A39" s="645"/>
      <c r="B39" s="646"/>
      <c r="C39" s="646"/>
      <c r="D39" s="646"/>
      <c r="E39" s="1457" t="s">
        <v>192</v>
      </c>
      <c r="F39" s="1457"/>
      <c r="G39" s="647"/>
    </row>
    <row r="40" spans="1:7" ht="66.75" customHeight="1">
      <c r="A40" s="13"/>
      <c r="B40" s="1463" t="s">
        <v>943</v>
      </c>
      <c r="C40" s="1463"/>
      <c r="D40" s="1463"/>
      <c r="E40" s="1463"/>
      <c r="F40" s="1463" t="s">
        <v>657</v>
      </c>
    </row>
    <row r="41" spans="1:7" ht="24" customHeight="1" thickBot="1">
      <c r="B41" s="880"/>
      <c r="C41" s="880"/>
      <c r="D41" s="880"/>
      <c r="E41" s="880"/>
      <c r="F41" s="910" t="s">
        <v>996</v>
      </c>
    </row>
    <row r="42" spans="1:7" ht="17.25" customHeight="1" thickBot="1">
      <c r="A42" s="13"/>
      <c r="B42" s="1453" t="s">
        <v>701</v>
      </c>
      <c r="C42" s="1448" t="s">
        <v>994</v>
      </c>
      <c r="D42" s="1450" t="s">
        <v>505</v>
      </c>
      <c r="E42" s="1451"/>
      <c r="F42" s="1452"/>
      <c r="G42" s="6"/>
    </row>
    <row r="43" spans="1:7" ht="35.25" customHeight="1" thickBot="1">
      <c r="A43" s="13"/>
      <c r="B43" s="1454"/>
      <c r="C43" s="1455"/>
      <c r="D43" s="340" t="s">
        <v>698</v>
      </c>
      <c r="E43" s="344" t="s">
        <v>495</v>
      </c>
      <c r="F43" s="339" t="s">
        <v>499</v>
      </c>
    </row>
    <row r="44" spans="1:7" ht="30" customHeight="1">
      <c r="A44" s="13"/>
      <c r="B44" s="981" t="s">
        <v>490</v>
      </c>
      <c r="C44" s="982">
        <f>C45+C50+C51</f>
        <v>699.41140684800018</v>
      </c>
      <c r="D44" s="982">
        <f>D45+D50+D51</f>
        <v>446.66133243205616</v>
      </c>
      <c r="E44" s="982">
        <f>E45+E50+E51</f>
        <v>234.65480349932903</v>
      </c>
      <c r="F44" s="982">
        <f>F45+F50+F51</f>
        <v>18.095270916614925</v>
      </c>
      <c r="G44" s="47"/>
    </row>
    <row r="45" spans="1:7" ht="30" customHeight="1">
      <c r="A45" s="13"/>
      <c r="B45" s="350" t="s">
        <v>737</v>
      </c>
      <c r="C45" s="547">
        <f>SUM(C46:C49)</f>
        <v>0</v>
      </c>
      <c r="D45" s="547">
        <f>SUM(D46:D49)</f>
        <v>0</v>
      </c>
      <c r="E45" s="547">
        <f>SUM(E46:E49)</f>
        <v>0</v>
      </c>
      <c r="F45" s="547">
        <f>SUM(F46:F49)</f>
        <v>0</v>
      </c>
      <c r="G45" s="47"/>
    </row>
    <row r="46" spans="1:7" ht="30" customHeight="1">
      <c r="A46" s="13"/>
      <c r="B46" s="351" t="s">
        <v>385</v>
      </c>
      <c r="C46" s="546">
        <v>0</v>
      </c>
      <c r="D46" s="546">
        <f t="shared" ref="D46:F51" si="4">$C46*D$55</f>
        <v>0</v>
      </c>
      <c r="E46" s="546">
        <f t="shared" si="4"/>
        <v>0</v>
      </c>
      <c r="F46" s="546">
        <f t="shared" si="4"/>
        <v>0</v>
      </c>
      <c r="G46" s="47"/>
    </row>
    <row r="47" spans="1:7" ht="30" customHeight="1">
      <c r="A47" s="13"/>
      <c r="B47" s="352" t="s">
        <v>715</v>
      </c>
      <c r="C47" s="545">
        <f>Електр_енерг!H16</f>
        <v>0</v>
      </c>
      <c r="D47" s="545">
        <f t="shared" si="4"/>
        <v>0</v>
      </c>
      <c r="E47" s="545">
        <f t="shared" si="4"/>
        <v>0</v>
      </c>
      <c r="F47" s="545">
        <f t="shared" si="4"/>
        <v>0</v>
      </c>
      <c r="G47" s="47"/>
    </row>
    <row r="48" spans="1:7" ht="30" customHeight="1">
      <c r="A48" s="13"/>
      <c r="B48" s="352" t="s">
        <v>384</v>
      </c>
      <c r="C48" s="545">
        <f>Вода_Водовід!O12</f>
        <v>0</v>
      </c>
      <c r="D48" s="545">
        <f t="shared" si="4"/>
        <v>0</v>
      </c>
      <c r="E48" s="545">
        <f t="shared" si="4"/>
        <v>0</v>
      </c>
      <c r="F48" s="545">
        <f t="shared" si="4"/>
        <v>0</v>
      </c>
      <c r="G48" s="47"/>
    </row>
    <row r="49" spans="1:9" ht="30" customHeight="1">
      <c r="A49" s="13"/>
      <c r="B49" s="352" t="s">
        <v>387</v>
      </c>
      <c r="C49" s="545">
        <v>0</v>
      </c>
      <c r="D49" s="545">
        <f t="shared" si="4"/>
        <v>0</v>
      </c>
      <c r="E49" s="545">
        <f t="shared" si="4"/>
        <v>0</v>
      </c>
      <c r="F49" s="545">
        <f t="shared" si="4"/>
        <v>0</v>
      </c>
      <c r="G49" s="47"/>
    </row>
    <row r="50" spans="1:9" ht="30" customHeight="1">
      <c r="A50" s="13"/>
      <c r="B50" s="353" t="s">
        <v>738</v>
      </c>
      <c r="C50" s="547">
        <f>'ЗП_Всього по під-ву'!G9</f>
        <v>573.28803840000012</v>
      </c>
      <c r="D50" s="545">
        <f t="shared" si="4"/>
        <v>366.11584625578371</v>
      </c>
      <c r="E50" s="545">
        <f t="shared" si="4"/>
        <v>192.34000286830249</v>
      </c>
      <c r="F50" s="545">
        <f t="shared" si="4"/>
        <v>14.832189275913873</v>
      </c>
      <c r="G50" s="47"/>
    </row>
    <row r="51" spans="1:9" ht="30" customHeight="1">
      <c r="A51" s="13"/>
      <c r="B51" s="353" t="s">
        <v>491</v>
      </c>
      <c r="C51" s="547">
        <f>C53+C52</f>
        <v>126.12336844800002</v>
      </c>
      <c r="D51" s="547">
        <f t="shared" si="4"/>
        <v>80.545486176272419</v>
      </c>
      <c r="E51" s="547">
        <f t="shared" si="4"/>
        <v>42.314800631026543</v>
      </c>
      <c r="F51" s="547">
        <f t="shared" si="4"/>
        <v>3.2630816407010519</v>
      </c>
      <c r="G51" s="47"/>
    </row>
    <row r="52" spans="1:9" ht="30" customHeight="1">
      <c r="A52" s="13"/>
      <c r="B52" s="362" t="s">
        <v>788</v>
      </c>
      <c r="C52" s="545">
        <f>'ЗП_Всього по під-ву'!G37</f>
        <v>126.12336844800002</v>
      </c>
      <c r="D52" s="545">
        <f>C52*D55</f>
        <v>80.545486176272419</v>
      </c>
      <c r="E52" s="545">
        <f>C52*E55</f>
        <v>42.314800631026543</v>
      </c>
      <c r="F52" s="545">
        <f>C52*F55</f>
        <v>3.2630816407010519</v>
      </c>
      <c r="G52" s="47"/>
    </row>
    <row r="53" spans="1:9" ht="30" customHeight="1">
      <c r="A53" s="13"/>
      <c r="B53" s="352" t="s">
        <v>739</v>
      </c>
      <c r="C53" s="545">
        <f>'Амортизація '!G10</f>
        <v>0</v>
      </c>
      <c r="D53" s="545">
        <f>C53*D55</f>
        <v>0</v>
      </c>
      <c r="E53" s="545">
        <f>C53*E55</f>
        <v>0</v>
      </c>
      <c r="F53" s="545">
        <f>C53*F55</f>
        <v>0</v>
      </c>
      <c r="G53" s="47"/>
    </row>
    <row r="54" spans="1:9" ht="30" customHeight="1" thickBot="1">
      <c r="A54" s="13"/>
      <c r="B54" s="354" t="s">
        <v>764</v>
      </c>
      <c r="C54" s="649">
        <v>0</v>
      </c>
      <c r="D54" s="649">
        <f>C54*D55</f>
        <v>0</v>
      </c>
      <c r="E54" s="649">
        <f>C54*E55</f>
        <v>0</v>
      </c>
      <c r="F54" s="649">
        <f>C54*F55</f>
        <v>0</v>
      </c>
      <c r="G54" s="47"/>
    </row>
    <row r="55" spans="1:9" ht="17.25" customHeight="1">
      <c r="A55" s="13"/>
      <c r="B55" s="912" t="s">
        <v>1004</v>
      </c>
      <c r="C55" s="913"/>
      <c r="D55" s="1053">
        <f>Паливо!C26</f>
        <v>0.63862460357202466</v>
      </c>
      <c r="E55" s="1053">
        <f>Паливо!D26</f>
        <v>0.33550325488232347</v>
      </c>
      <c r="F55" s="1053">
        <f>Паливо!E26</f>
        <v>2.587214154565181E-2</v>
      </c>
    </row>
    <row r="56" spans="1:9" ht="17.25" customHeight="1">
      <c r="A56" s="13"/>
      <c r="B56" s="357"/>
      <c r="C56" s="348"/>
      <c r="D56" s="348"/>
      <c r="E56" s="348"/>
      <c r="F56" s="348"/>
    </row>
    <row r="57" spans="1:9" ht="63.75" customHeight="1">
      <c r="A57" s="13"/>
      <c r="B57" s="1462" t="s">
        <v>10</v>
      </c>
      <c r="C57" s="1462"/>
      <c r="D57" s="1462"/>
      <c r="E57" s="1462"/>
      <c r="F57" s="1462"/>
    </row>
    <row r="58" spans="1:9" ht="24" customHeight="1" thickBot="1">
      <c r="B58" s="880"/>
      <c r="C58" s="880"/>
      <c r="D58" s="880"/>
      <c r="E58" s="880"/>
      <c r="F58" s="910" t="s">
        <v>996</v>
      </c>
    </row>
    <row r="59" spans="1:9" ht="17.25" customHeight="1" thickBot="1">
      <c r="A59" s="13"/>
      <c r="B59" s="1467" t="s">
        <v>701</v>
      </c>
      <c r="C59" s="1448" t="s">
        <v>994</v>
      </c>
      <c r="D59" s="1459" t="s">
        <v>505</v>
      </c>
      <c r="E59" s="1460"/>
      <c r="F59" s="1461"/>
    </row>
    <row r="60" spans="1:9" ht="36.75" customHeight="1" thickBot="1">
      <c r="A60" s="13"/>
      <c r="B60" s="1468"/>
      <c r="C60" s="1449"/>
      <c r="D60" s="359" t="s">
        <v>712</v>
      </c>
      <c r="E60" s="359" t="s">
        <v>620</v>
      </c>
      <c r="F60" s="359" t="s">
        <v>713</v>
      </c>
    </row>
    <row r="61" spans="1:9" ht="30" customHeight="1">
      <c r="A61" s="13"/>
      <c r="B61" s="979" t="s">
        <v>490</v>
      </c>
      <c r="C61" s="980">
        <f>C62+C67+C68</f>
        <v>29723.172788097028</v>
      </c>
      <c r="D61" s="980">
        <f>D62+D67+D68</f>
        <v>25445.891664094404</v>
      </c>
      <c r="E61" s="980">
        <f>E62+E67+E68</f>
        <v>3577.8697171546241</v>
      </c>
      <c r="F61" s="980">
        <f>F62+F67+F68</f>
        <v>699.41140684800018</v>
      </c>
    </row>
    <row r="62" spans="1:9" ht="30" customHeight="1">
      <c r="A62" s="13"/>
      <c r="B62" s="360" t="s">
        <v>737</v>
      </c>
      <c r="C62" s="650">
        <f>C63+C64+C65+C66</f>
        <v>22963.082728695346</v>
      </c>
      <c r="D62" s="650">
        <f>D63+D64+D65+D66</f>
        <v>20976.363019695345</v>
      </c>
      <c r="E62" s="650">
        <f>E63+E64+E65+E66</f>
        <v>1986.7197090000002</v>
      </c>
      <c r="F62" s="650">
        <f>F63+F64+F65+F66</f>
        <v>0</v>
      </c>
    </row>
    <row r="63" spans="1:9" ht="30" customHeight="1">
      <c r="A63" s="13"/>
      <c r="B63" s="341" t="s">
        <v>385</v>
      </c>
      <c r="C63" s="651">
        <f t="shared" ref="C63:C70" si="5">D63+E63+F63</f>
        <v>20753.821955695345</v>
      </c>
      <c r="D63" s="651">
        <f>C8</f>
        <v>20753.821955695345</v>
      </c>
      <c r="E63" s="651">
        <f t="shared" ref="E63:E70" si="6">C26</f>
        <v>0</v>
      </c>
      <c r="F63" s="651">
        <f t="shared" ref="F63:F70" si="7">C46</f>
        <v>0</v>
      </c>
    </row>
    <row r="64" spans="1:9" ht="30" customHeight="1">
      <c r="A64" s="13"/>
      <c r="B64" s="342" t="s">
        <v>588</v>
      </c>
      <c r="C64" s="652">
        <f t="shared" si="5"/>
        <v>1717.6851080000001</v>
      </c>
      <c r="D64" s="652">
        <f>C9</f>
        <v>129.55606399999999</v>
      </c>
      <c r="E64" s="651">
        <f t="shared" si="6"/>
        <v>1588.129044</v>
      </c>
      <c r="F64" s="651">
        <f t="shared" si="7"/>
        <v>0</v>
      </c>
      <c r="I64" s="4"/>
    </row>
    <row r="65" spans="1:9" ht="30" customHeight="1">
      <c r="A65" s="13"/>
      <c r="B65" s="342" t="s">
        <v>386</v>
      </c>
      <c r="C65" s="652">
        <f t="shared" si="5"/>
        <v>187.93774999999999</v>
      </c>
      <c r="D65" s="651">
        <f>C10</f>
        <v>57.914999999999999</v>
      </c>
      <c r="E65" s="651">
        <f t="shared" si="6"/>
        <v>130.02275</v>
      </c>
      <c r="F65" s="651">
        <f t="shared" si="7"/>
        <v>0</v>
      </c>
    </row>
    <row r="66" spans="1:9" ht="30" customHeight="1">
      <c r="A66" s="13"/>
      <c r="B66" s="342" t="s">
        <v>387</v>
      </c>
      <c r="C66" s="652">
        <f t="shared" si="5"/>
        <v>303.63791500000002</v>
      </c>
      <c r="D66" s="653">
        <f>C11</f>
        <v>35.07</v>
      </c>
      <c r="E66" s="651">
        <f t="shared" si="6"/>
        <v>268.56791500000003</v>
      </c>
      <c r="F66" s="651">
        <f t="shared" si="7"/>
        <v>0</v>
      </c>
    </row>
    <row r="67" spans="1:9" ht="30" customHeight="1">
      <c r="A67" s="13"/>
      <c r="B67" s="361" t="s">
        <v>388</v>
      </c>
      <c r="C67" s="877">
        <f t="shared" si="5"/>
        <v>4366.2530617727998</v>
      </c>
      <c r="D67" s="650">
        <f>C12</f>
        <v>2949.1707543936</v>
      </c>
      <c r="E67" s="650">
        <f t="shared" si="6"/>
        <v>843.79426897920007</v>
      </c>
      <c r="F67" s="650">
        <f>C50</f>
        <v>573.28803840000012</v>
      </c>
      <c r="I67" s="4"/>
    </row>
    <row r="68" spans="1:9" ht="30" customHeight="1">
      <c r="A68" s="13"/>
      <c r="B68" s="361" t="s">
        <v>491</v>
      </c>
      <c r="C68" s="877">
        <f t="shared" si="5"/>
        <v>2393.8369976288827</v>
      </c>
      <c r="D68" s="650">
        <f>SUM(D69:D71)</f>
        <v>1520.357890005459</v>
      </c>
      <c r="E68" s="650">
        <f>SUM(E69:E71)</f>
        <v>747.35573917542399</v>
      </c>
      <c r="F68" s="650">
        <f>SUM(F69:F71)</f>
        <v>126.12336844800002</v>
      </c>
    </row>
    <row r="69" spans="1:9" ht="30" customHeight="1">
      <c r="A69" s="13"/>
      <c r="B69" s="362" t="s">
        <v>788</v>
      </c>
      <c r="C69" s="651">
        <f t="shared" si="5"/>
        <v>941.99299762888313</v>
      </c>
      <c r="D69" s="651">
        <f>C14</f>
        <v>630.23489000545908</v>
      </c>
      <c r="E69" s="651">
        <f t="shared" si="6"/>
        <v>185.63473917542399</v>
      </c>
      <c r="F69" s="653">
        <f t="shared" si="7"/>
        <v>126.12336844800002</v>
      </c>
      <c r="G69" s="4"/>
    </row>
    <row r="70" spans="1:9" ht="30" customHeight="1">
      <c r="A70" s="13"/>
      <c r="B70" s="342" t="s">
        <v>389</v>
      </c>
      <c r="C70" s="652">
        <f t="shared" si="5"/>
        <v>145.34399999999999</v>
      </c>
      <c r="D70" s="652">
        <f>C15</f>
        <v>143.12299999999999</v>
      </c>
      <c r="E70" s="652">
        <f t="shared" si="6"/>
        <v>2.2210000000000001</v>
      </c>
      <c r="F70" s="653">
        <f t="shared" si="7"/>
        <v>0</v>
      </c>
    </row>
    <row r="71" spans="1:9" ht="30" customHeight="1" thickBot="1">
      <c r="A71" s="13"/>
      <c r="B71" s="363" t="s">
        <v>764</v>
      </c>
      <c r="C71" s="651">
        <f>C16+C34+C54</f>
        <v>1306.5</v>
      </c>
      <c r="D71" s="651">
        <f>C16</f>
        <v>747</v>
      </c>
      <c r="E71" s="651">
        <f>C34</f>
        <v>559.5</v>
      </c>
      <c r="F71" s="651">
        <f>C54</f>
        <v>0</v>
      </c>
      <c r="I71" s="4"/>
    </row>
    <row r="72" spans="1:9" ht="32.25" customHeight="1" thickBot="1">
      <c r="A72" s="13"/>
      <c r="B72" s="911" t="s">
        <v>1006</v>
      </c>
      <c r="C72" s="654">
        <f>SUM(D72:F72)</f>
        <v>1</v>
      </c>
      <c r="D72" s="1052">
        <f>D61/C61</f>
        <v>0.85609607848743829</v>
      </c>
      <c r="E72" s="1052">
        <f>E61/C61</f>
        <v>0.12037307533290731</v>
      </c>
      <c r="F72" s="1052">
        <f>F61/C61</f>
        <v>2.3530846179654386E-2</v>
      </c>
    </row>
    <row r="73" spans="1:9" ht="32.25" customHeight="1">
      <c r="A73" s="13"/>
      <c r="B73" s="364"/>
      <c r="C73" s="365"/>
      <c r="D73" s="365"/>
      <c r="E73" s="365"/>
      <c r="F73" s="365"/>
    </row>
    <row r="74" spans="1:9" s="84" customFormat="1" ht="50.25" customHeight="1">
      <c r="A74" s="645"/>
      <c r="B74" s="646" t="s">
        <v>368</v>
      </c>
      <c r="C74" s="646"/>
      <c r="D74" s="646"/>
      <c r="E74" s="1456" t="s">
        <v>369</v>
      </c>
      <c r="F74" s="1456"/>
      <c r="G74" s="647"/>
    </row>
    <row r="75" spans="1:9" ht="26.25" customHeight="1">
      <c r="A75" s="13"/>
      <c r="B75" s="347"/>
      <c r="C75" s="347"/>
      <c r="D75" s="448"/>
      <c r="E75" s="1458"/>
      <c r="F75" s="1458"/>
    </row>
    <row r="76" spans="1:9" ht="22.5" customHeight="1">
      <c r="A76" s="13"/>
      <c r="B76" s="345"/>
      <c r="C76" s="345"/>
      <c r="D76" s="338"/>
      <c r="E76" s="1458"/>
      <c r="F76" s="1458"/>
    </row>
    <row r="77" spans="1:9" ht="17.25" customHeight="1">
      <c r="A77" s="13"/>
    </row>
    <row r="78" spans="1:9" ht="14.25">
      <c r="A78" s="13"/>
      <c r="G78" s="88"/>
    </row>
    <row r="79" spans="1:9" ht="14.25">
      <c r="A79" s="13"/>
      <c r="C79" s="4"/>
      <c r="G79" s="88"/>
      <c r="H79" s="88"/>
    </row>
    <row r="80" spans="1:9">
      <c r="A80" s="13"/>
      <c r="B80" s="13"/>
      <c r="C80" s="13"/>
      <c r="D80" s="13"/>
      <c r="E80" s="13"/>
      <c r="F80" s="13"/>
    </row>
    <row r="81" spans="1:6">
      <c r="A81" s="13"/>
      <c r="B81" s="13"/>
      <c r="C81" s="13"/>
      <c r="D81" s="13"/>
      <c r="E81" s="13"/>
      <c r="F81" s="13"/>
    </row>
    <row r="82" spans="1:6">
      <c r="A82" s="13"/>
      <c r="B82" s="13"/>
      <c r="C82" s="13"/>
      <c r="D82" s="81"/>
      <c r="E82" s="13"/>
      <c r="F82" s="13"/>
    </row>
    <row r="83" spans="1:6" ht="14.25">
      <c r="A83" s="13"/>
      <c r="B83" s="88"/>
      <c r="C83" s="88"/>
      <c r="D83" s="87"/>
      <c r="F83" s="88"/>
    </row>
    <row r="84" spans="1:6" ht="14.25">
      <c r="A84" s="13"/>
      <c r="B84" s="88"/>
      <c r="C84" s="88"/>
      <c r="D84" s="89"/>
      <c r="F84" s="88"/>
    </row>
    <row r="85" spans="1:6">
      <c r="A85" s="13"/>
      <c r="B85" s="13"/>
      <c r="C85" s="13"/>
      <c r="D85" s="13"/>
      <c r="E85" s="13"/>
      <c r="F85" s="13"/>
    </row>
    <row r="86" spans="1:6">
      <c r="A86" s="13"/>
      <c r="B86" s="13"/>
      <c r="C86" s="13"/>
      <c r="D86" s="13"/>
      <c r="E86" s="13"/>
      <c r="F86" s="13"/>
    </row>
    <row r="87" spans="1:6">
      <c r="A87" s="13"/>
      <c r="B87" s="13"/>
      <c r="C87" s="13"/>
      <c r="D87" s="13"/>
      <c r="E87" s="13"/>
      <c r="F87" s="13"/>
    </row>
    <row r="88" spans="1:6">
      <c r="A88" s="13"/>
      <c r="B88" s="13"/>
      <c r="C88" s="13"/>
      <c r="D88" s="13"/>
      <c r="E88" s="13"/>
      <c r="F88" s="13"/>
    </row>
    <row r="89" spans="1:6">
      <c r="A89" s="13"/>
      <c r="B89" s="13"/>
      <c r="C89" s="13"/>
      <c r="D89" s="13"/>
      <c r="E89" s="13"/>
      <c r="F89" s="13"/>
    </row>
    <row r="90" spans="1:6">
      <c r="A90" s="13"/>
      <c r="B90" s="13"/>
      <c r="C90" s="13"/>
      <c r="D90" s="13"/>
      <c r="E90" s="13"/>
      <c r="F90" s="13"/>
    </row>
    <row r="91" spans="1:6">
      <c r="A91" s="13"/>
      <c r="B91" s="13"/>
      <c r="C91" s="13"/>
      <c r="D91" s="13"/>
      <c r="E91" s="13"/>
      <c r="F91" s="13"/>
    </row>
    <row r="92" spans="1:6">
      <c r="A92" s="13"/>
      <c r="B92" s="13"/>
      <c r="C92" s="13"/>
      <c r="D92" s="13"/>
      <c r="E92" s="13"/>
      <c r="F92" s="13"/>
    </row>
    <row r="93" spans="1:6">
      <c r="A93" s="13"/>
      <c r="B93" s="13"/>
      <c r="C93" s="13"/>
      <c r="D93" s="13"/>
      <c r="E93" s="13"/>
      <c r="F93" s="13"/>
    </row>
    <row r="94" spans="1:6">
      <c r="A94" s="13"/>
      <c r="B94" s="13"/>
      <c r="C94" s="13"/>
      <c r="D94" s="13"/>
      <c r="E94" s="13"/>
      <c r="F94" s="13"/>
    </row>
    <row r="95" spans="1:6">
      <c r="A95" s="13"/>
      <c r="B95" s="13"/>
      <c r="C95" s="13"/>
      <c r="D95" s="13"/>
      <c r="E95" s="13"/>
      <c r="F95" s="13"/>
    </row>
    <row r="96" spans="1:6">
      <c r="A96" s="13"/>
      <c r="B96" s="13"/>
      <c r="C96" s="13"/>
      <c r="D96" s="13"/>
      <c r="E96" s="13"/>
      <c r="F96" s="13"/>
    </row>
    <row r="97" spans="1:6">
      <c r="A97" s="13"/>
      <c r="B97" s="13"/>
      <c r="C97" s="13"/>
      <c r="D97" s="13"/>
      <c r="E97" s="13"/>
      <c r="F97" s="13"/>
    </row>
    <row r="98" spans="1:6">
      <c r="A98" s="13"/>
      <c r="B98" s="13"/>
      <c r="C98" s="13"/>
      <c r="D98" s="13"/>
      <c r="E98" s="13"/>
      <c r="F98" s="13"/>
    </row>
    <row r="99" spans="1:6">
      <c r="A99" s="13"/>
      <c r="B99" s="13"/>
      <c r="C99" s="13"/>
      <c r="D99" s="13"/>
      <c r="E99" s="13"/>
      <c r="F99" s="13"/>
    </row>
    <row r="100" spans="1:6">
      <c r="A100" s="13"/>
      <c r="B100" s="13"/>
      <c r="C100" s="13"/>
      <c r="D100" s="13"/>
      <c r="E100" s="13"/>
      <c r="F100" s="13"/>
    </row>
    <row r="101" spans="1:6">
      <c r="A101" s="13"/>
      <c r="B101" s="13"/>
      <c r="C101" s="13"/>
      <c r="D101" s="13"/>
      <c r="E101" s="13"/>
      <c r="F101" s="13"/>
    </row>
    <row r="102" spans="1:6">
      <c r="A102" s="13"/>
      <c r="B102" s="13"/>
      <c r="C102" s="13"/>
      <c r="D102" s="13"/>
      <c r="E102" s="13"/>
      <c r="F102" s="13"/>
    </row>
    <row r="103" spans="1:6">
      <c r="A103" s="13"/>
      <c r="B103" s="13"/>
      <c r="C103" s="13"/>
      <c r="D103" s="13"/>
      <c r="E103" s="13"/>
      <c r="F103" s="13"/>
    </row>
    <row r="104" spans="1:6">
      <c r="A104" s="13"/>
      <c r="B104" s="13"/>
      <c r="C104" s="13"/>
      <c r="D104" s="13"/>
      <c r="E104" s="13"/>
      <c r="F104" s="13"/>
    </row>
    <row r="105" spans="1:6">
      <c r="A105" s="13"/>
      <c r="B105" s="13"/>
      <c r="C105" s="13"/>
      <c r="D105" s="13"/>
      <c r="E105" s="13"/>
      <c r="F105" s="13"/>
    </row>
    <row r="106" spans="1:6">
      <c r="A106" s="13"/>
      <c r="B106" s="13"/>
      <c r="C106" s="13"/>
      <c r="D106" s="13"/>
      <c r="E106" s="13"/>
      <c r="F106" s="13"/>
    </row>
    <row r="107" spans="1:6">
      <c r="A107" s="13"/>
      <c r="B107" s="13"/>
      <c r="C107" s="13"/>
      <c r="D107" s="13"/>
      <c r="E107" s="13"/>
      <c r="F107" s="13"/>
    </row>
    <row r="108" spans="1:6">
      <c r="A108" s="13"/>
      <c r="B108" s="13"/>
      <c r="C108" s="13"/>
      <c r="D108" s="13"/>
      <c r="E108" s="13"/>
      <c r="F108" s="13"/>
    </row>
    <row r="109" spans="1:6">
      <c r="A109" s="13"/>
      <c r="B109" s="13"/>
      <c r="C109" s="13"/>
      <c r="D109" s="13"/>
      <c r="E109" s="13"/>
      <c r="F109" s="13"/>
    </row>
    <row r="110" spans="1:6">
      <c r="A110" s="13"/>
      <c r="B110" s="13"/>
      <c r="C110" s="13"/>
      <c r="D110" s="13"/>
      <c r="E110" s="13"/>
      <c r="F110" s="13"/>
    </row>
    <row r="111" spans="1:6">
      <c r="A111" s="13"/>
      <c r="B111" s="13"/>
      <c r="C111" s="13"/>
      <c r="D111" s="13"/>
      <c r="E111" s="13"/>
      <c r="F111" s="13"/>
    </row>
    <row r="112" spans="1:6">
      <c r="A112" s="13"/>
      <c r="B112" s="13"/>
      <c r="C112" s="13"/>
      <c r="D112" s="13"/>
      <c r="E112" s="13"/>
      <c r="F112" s="13"/>
    </row>
    <row r="113" spans="1:6">
      <c r="A113" s="13"/>
      <c r="B113" s="13"/>
      <c r="C113" s="13"/>
      <c r="D113" s="13"/>
      <c r="E113" s="13"/>
      <c r="F113" s="13"/>
    </row>
    <row r="114" spans="1:6">
      <c r="A114" s="13"/>
      <c r="B114" s="13"/>
      <c r="C114" s="13"/>
      <c r="D114" s="13"/>
      <c r="E114" s="13"/>
      <c r="F114" s="13"/>
    </row>
    <row r="115" spans="1:6">
      <c r="A115" s="13"/>
      <c r="B115" s="13"/>
      <c r="C115" s="13"/>
      <c r="D115" s="13"/>
      <c r="E115" s="13"/>
      <c r="F115" s="13"/>
    </row>
    <row r="116" spans="1:6">
      <c r="A116" s="13"/>
      <c r="B116" s="13"/>
      <c r="C116" s="13"/>
      <c r="D116" s="13"/>
      <c r="E116" s="13"/>
      <c r="F116" s="13"/>
    </row>
    <row r="117" spans="1:6">
      <c r="A117" s="13"/>
      <c r="B117" s="13"/>
      <c r="C117" s="13"/>
      <c r="D117" s="13"/>
      <c r="E117" s="13"/>
      <c r="F117" s="13"/>
    </row>
    <row r="118" spans="1:6">
      <c r="A118" s="13"/>
      <c r="B118" s="13"/>
      <c r="C118" s="13"/>
      <c r="D118" s="13"/>
      <c r="E118" s="13"/>
      <c r="F118" s="13"/>
    </row>
    <row r="119" spans="1:6">
      <c r="A119" s="13"/>
      <c r="B119" s="13"/>
      <c r="C119" s="13"/>
      <c r="D119" s="13"/>
      <c r="E119" s="13"/>
      <c r="F119" s="13"/>
    </row>
    <row r="120" spans="1:6">
      <c r="A120" s="13"/>
      <c r="B120" s="13"/>
      <c r="C120" s="13"/>
      <c r="D120" s="13"/>
      <c r="E120" s="13"/>
      <c r="F120" s="13"/>
    </row>
    <row r="121" spans="1:6">
      <c r="A121" s="13"/>
      <c r="B121" s="13"/>
      <c r="C121" s="13"/>
      <c r="D121" s="13"/>
      <c r="E121" s="13"/>
      <c r="F121" s="13"/>
    </row>
    <row r="122" spans="1:6">
      <c r="A122" s="13"/>
      <c r="B122" s="13"/>
      <c r="C122" s="13"/>
      <c r="D122" s="13"/>
      <c r="E122" s="13"/>
      <c r="F122" s="13"/>
    </row>
    <row r="123" spans="1:6">
      <c r="A123" s="13"/>
      <c r="B123" s="13"/>
      <c r="C123" s="13"/>
      <c r="D123" s="13"/>
      <c r="E123" s="13"/>
      <c r="F123" s="13"/>
    </row>
    <row r="124" spans="1:6">
      <c r="A124" s="13"/>
      <c r="B124" s="13"/>
      <c r="C124" s="13"/>
      <c r="D124" s="13"/>
      <c r="E124" s="13"/>
      <c r="F124" s="13"/>
    </row>
    <row r="125" spans="1:6">
      <c r="A125" s="13"/>
      <c r="B125" s="13"/>
      <c r="C125" s="13"/>
      <c r="D125" s="13"/>
      <c r="E125" s="13"/>
      <c r="F125" s="13"/>
    </row>
    <row r="126" spans="1:6">
      <c r="A126" s="13"/>
      <c r="B126" s="13"/>
      <c r="C126" s="13"/>
      <c r="D126" s="13"/>
      <c r="E126" s="13"/>
      <c r="F126" s="13"/>
    </row>
    <row r="127" spans="1:6">
      <c r="A127" s="13"/>
      <c r="B127" s="13"/>
      <c r="C127" s="13"/>
      <c r="D127" s="13"/>
      <c r="E127" s="13"/>
      <c r="F127" s="13"/>
    </row>
    <row r="128" spans="1:6">
      <c r="A128" s="13"/>
      <c r="B128" s="13"/>
      <c r="C128" s="13"/>
      <c r="D128" s="13"/>
      <c r="E128" s="13"/>
      <c r="F128" s="13"/>
    </row>
    <row r="129" spans="1:6">
      <c r="A129" s="13"/>
      <c r="B129" s="13"/>
      <c r="C129" s="13"/>
      <c r="D129" s="13"/>
      <c r="E129" s="13"/>
      <c r="F129" s="13"/>
    </row>
    <row r="130" spans="1:6">
      <c r="A130" s="13"/>
      <c r="B130" s="13"/>
      <c r="C130" s="13"/>
      <c r="D130" s="13"/>
      <c r="E130" s="13"/>
      <c r="F130" s="13"/>
    </row>
    <row r="131" spans="1:6">
      <c r="A131" s="13"/>
      <c r="B131" s="13"/>
      <c r="C131" s="13"/>
      <c r="D131" s="13"/>
      <c r="E131" s="13"/>
      <c r="F131" s="13"/>
    </row>
    <row r="132" spans="1:6">
      <c r="A132" s="13"/>
      <c r="B132" s="13"/>
      <c r="C132" s="13"/>
      <c r="D132" s="13"/>
      <c r="E132" s="13"/>
      <c r="F132" s="13"/>
    </row>
    <row r="133" spans="1:6">
      <c r="A133" s="13"/>
      <c r="B133" s="13"/>
      <c r="C133" s="13"/>
      <c r="D133" s="13"/>
      <c r="E133" s="13"/>
      <c r="F133" s="13"/>
    </row>
    <row r="134" spans="1:6">
      <c r="A134" s="13"/>
      <c r="B134" s="13"/>
      <c r="C134" s="13"/>
      <c r="D134" s="13"/>
      <c r="E134" s="13"/>
      <c r="F134" s="13"/>
    </row>
    <row r="135" spans="1:6">
      <c r="A135" s="13"/>
      <c r="B135" s="13"/>
      <c r="C135" s="13"/>
      <c r="D135" s="13"/>
      <c r="E135" s="13"/>
      <c r="F135" s="13"/>
    </row>
    <row r="136" spans="1:6">
      <c r="A136" s="13"/>
      <c r="B136" s="13"/>
      <c r="C136" s="13"/>
      <c r="D136" s="13"/>
      <c r="E136" s="13"/>
      <c r="F136" s="13"/>
    </row>
    <row r="137" spans="1:6">
      <c r="A137" s="13"/>
      <c r="B137" s="13"/>
      <c r="C137" s="13"/>
      <c r="D137" s="13"/>
      <c r="E137" s="13"/>
      <c r="F137" s="13"/>
    </row>
    <row r="138" spans="1:6">
      <c r="A138" s="13"/>
      <c r="B138" s="13"/>
      <c r="C138" s="13"/>
      <c r="D138" s="13"/>
      <c r="E138" s="13"/>
      <c r="F138" s="13"/>
    </row>
    <row r="139" spans="1:6">
      <c r="A139" s="13"/>
      <c r="B139" s="13"/>
      <c r="C139" s="13"/>
      <c r="D139" s="13"/>
      <c r="E139" s="13"/>
      <c r="F139" s="13"/>
    </row>
    <row r="140" spans="1:6">
      <c r="A140" s="13"/>
      <c r="B140" s="13"/>
      <c r="C140" s="13"/>
      <c r="D140" s="13"/>
      <c r="E140" s="13"/>
      <c r="F140" s="13"/>
    </row>
    <row r="141" spans="1:6">
      <c r="A141" s="13"/>
      <c r="B141" s="13"/>
      <c r="C141" s="13"/>
      <c r="D141" s="13"/>
      <c r="E141" s="13"/>
      <c r="F141" s="13"/>
    </row>
    <row r="142" spans="1:6">
      <c r="A142" s="13"/>
      <c r="B142" s="13"/>
      <c r="C142" s="13"/>
      <c r="D142" s="13"/>
      <c r="E142" s="13"/>
      <c r="F142" s="13"/>
    </row>
    <row r="143" spans="1:6">
      <c r="A143" s="13"/>
      <c r="B143" s="13"/>
      <c r="C143" s="13"/>
      <c r="D143" s="13"/>
      <c r="E143" s="13"/>
      <c r="F143" s="13"/>
    </row>
    <row r="144" spans="1:6">
      <c r="A144" s="13"/>
      <c r="B144" s="13"/>
      <c r="C144" s="13"/>
      <c r="D144" s="13"/>
      <c r="E144" s="13"/>
      <c r="F144" s="13"/>
    </row>
    <row r="145" spans="1:6">
      <c r="A145" s="13"/>
      <c r="B145" s="13"/>
      <c r="C145" s="13"/>
      <c r="D145" s="13"/>
      <c r="E145" s="13"/>
      <c r="F145" s="13"/>
    </row>
    <row r="146" spans="1:6">
      <c r="A146" s="13"/>
      <c r="B146" s="13"/>
      <c r="C146" s="13"/>
      <c r="D146" s="13"/>
      <c r="E146" s="13"/>
      <c r="F146" s="13"/>
    </row>
    <row r="147" spans="1:6">
      <c r="A147" s="13"/>
      <c r="B147" s="13"/>
      <c r="C147" s="13"/>
      <c r="D147" s="13"/>
      <c r="E147" s="13"/>
      <c r="F147" s="13"/>
    </row>
    <row r="148" spans="1:6">
      <c r="A148" s="13"/>
      <c r="B148" s="13"/>
      <c r="C148" s="13"/>
      <c r="D148" s="13"/>
      <c r="E148" s="13"/>
      <c r="F148" s="13"/>
    </row>
    <row r="149" spans="1:6">
      <c r="A149" s="13"/>
      <c r="B149" s="13"/>
      <c r="C149" s="13"/>
      <c r="D149" s="13"/>
      <c r="E149" s="13"/>
      <c r="F149" s="13"/>
    </row>
    <row r="150" spans="1:6">
      <c r="A150" s="13"/>
      <c r="B150" s="13"/>
      <c r="C150" s="13"/>
      <c r="D150" s="13"/>
      <c r="E150" s="13"/>
      <c r="F150" s="13"/>
    </row>
    <row r="151" spans="1:6">
      <c r="A151" s="13"/>
      <c r="B151" s="13"/>
      <c r="C151" s="13"/>
      <c r="D151" s="13"/>
      <c r="E151" s="13"/>
      <c r="F151" s="13"/>
    </row>
    <row r="152" spans="1:6">
      <c r="A152" s="13"/>
      <c r="B152" s="13"/>
      <c r="C152" s="13"/>
      <c r="D152" s="13"/>
      <c r="E152" s="13"/>
      <c r="F152" s="13"/>
    </row>
    <row r="153" spans="1:6">
      <c r="A153" s="13"/>
      <c r="B153" s="13"/>
      <c r="C153" s="13"/>
      <c r="D153" s="13"/>
      <c r="E153" s="13"/>
      <c r="F153" s="13"/>
    </row>
    <row r="154" spans="1:6">
      <c r="A154" s="13"/>
      <c r="B154" s="13"/>
      <c r="C154" s="13"/>
      <c r="D154" s="13"/>
      <c r="E154" s="13"/>
      <c r="F154" s="13"/>
    </row>
    <row r="155" spans="1:6">
      <c r="A155" s="13"/>
      <c r="B155" s="13"/>
      <c r="C155" s="13"/>
      <c r="D155" s="13"/>
      <c r="E155" s="13"/>
      <c r="F155" s="13"/>
    </row>
    <row r="156" spans="1:6">
      <c r="A156" s="13"/>
      <c r="B156" s="13"/>
      <c r="C156" s="13"/>
      <c r="D156" s="13"/>
      <c r="E156" s="13"/>
      <c r="F156" s="13"/>
    </row>
    <row r="157" spans="1:6">
      <c r="A157" s="13"/>
      <c r="B157" s="13"/>
      <c r="C157" s="13"/>
      <c r="D157" s="13"/>
      <c r="E157" s="13"/>
      <c r="F157" s="13"/>
    </row>
    <row r="158" spans="1:6">
      <c r="A158" s="13"/>
      <c r="B158" s="13"/>
      <c r="C158" s="13"/>
      <c r="D158" s="13"/>
      <c r="E158" s="13"/>
      <c r="F158" s="13"/>
    </row>
    <row r="159" spans="1:6">
      <c r="A159" s="13"/>
      <c r="B159" s="13"/>
      <c r="C159" s="13"/>
      <c r="D159" s="13"/>
      <c r="E159" s="13"/>
      <c r="F159" s="13"/>
    </row>
    <row r="160" spans="1:6">
      <c r="A160" s="13"/>
      <c r="B160" s="13"/>
      <c r="C160" s="13"/>
      <c r="D160" s="13"/>
      <c r="E160" s="13"/>
      <c r="F160" s="13"/>
    </row>
    <row r="161" spans="1:6">
      <c r="A161" s="13"/>
      <c r="B161" s="13"/>
      <c r="C161" s="13"/>
      <c r="D161" s="13"/>
      <c r="E161" s="13"/>
      <c r="F161" s="13"/>
    </row>
    <row r="162" spans="1:6">
      <c r="A162" s="13"/>
      <c r="B162" s="13"/>
      <c r="C162" s="13"/>
      <c r="D162" s="13"/>
      <c r="E162" s="13"/>
      <c r="F162" s="13"/>
    </row>
    <row r="163" spans="1:6">
      <c r="A163" s="13"/>
      <c r="B163" s="13"/>
      <c r="C163" s="13"/>
      <c r="D163" s="13"/>
      <c r="E163" s="13"/>
      <c r="F163" s="13"/>
    </row>
    <row r="164" spans="1:6">
      <c r="A164" s="13"/>
      <c r="B164" s="13"/>
      <c r="C164" s="13"/>
      <c r="D164" s="13"/>
      <c r="E164" s="13"/>
      <c r="F164" s="13"/>
    </row>
    <row r="165" spans="1:6">
      <c r="A165" s="13"/>
      <c r="B165" s="13"/>
      <c r="C165" s="13"/>
      <c r="D165" s="13"/>
      <c r="E165" s="13"/>
      <c r="F165" s="13"/>
    </row>
    <row r="166" spans="1:6">
      <c r="A166" s="13"/>
      <c r="B166" s="13"/>
      <c r="C166" s="13"/>
      <c r="D166" s="13"/>
      <c r="E166" s="13"/>
      <c r="F166" s="13"/>
    </row>
    <row r="167" spans="1:6">
      <c r="A167" s="13"/>
      <c r="B167" s="13"/>
      <c r="C167" s="13"/>
      <c r="D167" s="13"/>
      <c r="E167" s="13"/>
      <c r="F167" s="13"/>
    </row>
    <row r="168" spans="1:6">
      <c r="A168" s="13"/>
      <c r="B168" s="13"/>
      <c r="C168" s="13"/>
      <c r="D168" s="13"/>
      <c r="E168" s="13"/>
      <c r="F168" s="13"/>
    </row>
    <row r="169" spans="1:6">
      <c r="A169" s="13"/>
      <c r="B169" s="13"/>
      <c r="C169" s="13"/>
      <c r="D169" s="13"/>
      <c r="E169" s="13"/>
      <c r="F169" s="13"/>
    </row>
    <row r="170" spans="1:6">
      <c r="A170" s="13"/>
      <c r="B170" s="13"/>
      <c r="C170" s="13"/>
      <c r="D170" s="13"/>
      <c r="E170" s="13"/>
      <c r="F170" s="13"/>
    </row>
    <row r="171" spans="1:6">
      <c r="A171" s="13"/>
      <c r="B171" s="13"/>
      <c r="C171" s="13"/>
      <c r="D171" s="13"/>
      <c r="E171" s="13"/>
      <c r="F171" s="13"/>
    </row>
    <row r="172" spans="1:6">
      <c r="A172" s="13"/>
      <c r="B172" s="13"/>
      <c r="C172" s="13"/>
      <c r="D172" s="13"/>
      <c r="E172" s="13"/>
      <c r="F172" s="13"/>
    </row>
    <row r="173" spans="1:6">
      <c r="A173" s="13"/>
      <c r="B173" s="13"/>
      <c r="C173" s="13"/>
      <c r="D173" s="13"/>
      <c r="E173" s="13"/>
      <c r="F173" s="13"/>
    </row>
    <row r="174" spans="1:6">
      <c r="A174" s="13"/>
      <c r="B174" s="13"/>
      <c r="C174" s="13"/>
      <c r="D174" s="13"/>
      <c r="E174" s="13"/>
      <c r="F174" s="13"/>
    </row>
    <row r="175" spans="1:6">
      <c r="A175" s="13"/>
      <c r="B175" s="13"/>
      <c r="C175" s="13"/>
      <c r="D175" s="13"/>
      <c r="E175" s="13"/>
      <c r="F175" s="13"/>
    </row>
    <row r="176" spans="1:6">
      <c r="A176" s="13"/>
      <c r="B176" s="13"/>
      <c r="C176" s="13"/>
      <c r="D176" s="13"/>
      <c r="E176" s="13"/>
      <c r="F176" s="13"/>
    </row>
    <row r="177" spans="1:6">
      <c r="A177" s="13"/>
      <c r="B177" s="13"/>
      <c r="C177" s="13"/>
      <c r="D177" s="13"/>
      <c r="E177" s="13"/>
      <c r="F177" s="13"/>
    </row>
    <row r="178" spans="1:6">
      <c r="A178" s="13"/>
      <c r="B178" s="13"/>
      <c r="C178" s="13"/>
      <c r="D178" s="13"/>
      <c r="E178" s="13"/>
      <c r="F178" s="13"/>
    </row>
    <row r="179" spans="1:6">
      <c r="A179" s="13"/>
      <c r="B179" s="13"/>
      <c r="C179" s="13"/>
      <c r="D179" s="13"/>
      <c r="E179" s="13"/>
      <c r="F179" s="13"/>
    </row>
    <row r="180" spans="1:6">
      <c r="A180" s="13"/>
      <c r="B180" s="13"/>
      <c r="C180" s="13"/>
      <c r="D180" s="13"/>
      <c r="E180" s="13"/>
      <c r="F180" s="13"/>
    </row>
    <row r="181" spans="1:6">
      <c r="A181" s="13"/>
      <c r="B181" s="13"/>
      <c r="C181" s="13"/>
      <c r="D181" s="13"/>
      <c r="E181" s="13"/>
      <c r="F181" s="13"/>
    </row>
    <row r="182" spans="1:6">
      <c r="A182" s="13"/>
      <c r="B182" s="13"/>
      <c r="C182" s="13"/>
      <c r="D182" s="13"/>
      <c r="E182" s="13"/>
      <c r="F182" s="13"/>
    </row>
    <row r="183" spans="1:6">
      <c r="A183" s="13"/>
      <c r="B183" s="13"/>
      <c r="C183" s="13"/>
      <c r="D183" s="13"/>
      <c r="E183" s="13"/>
      <c r="F183" s="13"/>
    </row>
    <row r="184" spans="1:6">
      <c r="A184" s="13"/>
      <c r="B184" s="13"/>
      <c r="C184" s="13"/>
      <c r="D184" s="13"/>
      <c r="E184" s="13"/>
      <c r="F184" s="13"/>
    </row>
    <row r="185" spans="1:6">
      <c r="A185" s="13"/>
      <c r="B185" s="13"/>
      <c r="C185" s="13"/>
      <c r="D185" s="13"/>
      <c r="E185" s="13"/>
      <c r="F185" s="13"/>
    </row>
    <row r="186" spans="1:6">
      <c r="A186" s="13"/>
      <c r="B186" s="13"/>
      <c r="C186" s="13"/>
      <c r="D186" s="13"/>
      <c r="E186" s="13"/>
      <c r="F186" s="13"/>
    </row>
    <row r="187" spans="1:6">
      <c r="A187" s="13"/>
      <c r="B187" s="13"/>
      <c r="C187" s="13"/>
      <c r="D187" s="13"/>
      <c r="E187" s="13"/>
      <c r="F187" s="13"/>
    </row>
    <row r="188" spans="1:6">
      <c r="A188" s="13"/>
      <c r="B188" s="13"/>
      <c r="C188" s="13"/>
      <c r="D188" s="13"/>
      <c r="E188" s="13"/>
      <c r="F188" s="13"/>
    </row>
  </sheetData>
  <mergeCells count="23">
    <mergeCell ref="B2:F2"/>
    <mergeCell ref="B4:B5"/>
    <mergeCell ref="D4:F4"/>
    <mergeCell ref="C4:C5"/>
    <mergeCell ref="B20:F20"/>
    <mergeCell ref="B22:B23"/>
    <mergeCell ref="G8:M8"/>
    <mergeCell ref="G9:J9"/>
    <mergeCell ref="G11:J11"/>
    <mergeCell ref="E39:F39"/>
    <mergeCell ref="E75:F76"/>
    <mergeCell ref="C22:C23"/>
    <mergeCell ref="D59:F59"/>
    <mergeCell ref="B57:F57"/>
    <mergeCell ref="B40:F40"/>
    <mergeCell ref="D22:F22"/>
    <mergeCell ref="E38:F38"/>
    <mergeCell ref="B59:B60"/>
    <mergeCell ref="C59:C60"/>
    <mergeCell ref="D42:F42"/>
    <mergeCell ref="B42:B43"/>
    <mergeCell ref="C42:C43"/>
    <mergeCell ref="E74:F74"/>
  </mergeCells>
  <phoneticPr fontId="0" type="noConversion"/>
  <conditionalFormatting sqref="D60">
    <cfRule type="expression" dxfId="20" priority="16" stopIfTrue="1">
      <formula>ABS(#REF!-($E60+$F60+#REF!+#REF!))&gt;отклонение</formula>
    </cfRule>
  </conditionalFormatting>
  <conditionalFormatting sqref="E60:F60">
    <cfRule type="expression" dxfId="19" priority="17" stopIfTrue="1">
      <formula>ABS($G60-($H60+#REF!+$G60+$G60))&gt;отклонение</formula>
    </cfRule>
  </conditionalFormatting>
  <conditionalFormatting sqref="D5:F5">
    <cfRule type="expression" dxfId="18" priority="18" stopIfTrue="1">
      <formula>ABS($F5-(#REF!+$G5+$H5+$H5))&gt;отклонение</formula>
    </cfRule>
  </conditionalFormatting>
  <conditionalFormatting sqref="D43:F43 D23:F23">
    <cfRule type="expression" dxfId="17" priority="19" stopIfTrue="1">
      <formula>ABS($F23-($G23+#REF!+$H23+$H23))&gt;отклонение</formula>
    </cfRule>
  </conditionalFormatting>
  <pageMargins left="0.98425196850393704" right="0.39370078740157483" top="0.39370078740157483" bottom="0.39370078740157483" header="0.35433070866141736" footer="0.15748031496062992"/>
  <pageSetup paperSize="9" scale="66" fitToHeight="0" orientation="portrait" horizontalDpi="300" verticalDpi="300" r:id="rId1"/>
  <headerFooter alignWithMargins="0"/>
  <rowBreaks count="1" manualBreakCount="1">
    <brk id="38" max="5" man="1"/>
  </rowBreaks>
  <colBreaks count="1" manualBreakCount="1">
    <brk id="6" min="1" max="110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M158"/>
  <sheetViews>
    <sheetView topLeftCell="A58" zoomScaleSheetLayoutView="80" workbookViewId="0">
      <selection activeCell="D70" sqref="D70:D71"/>
    </sheetView>
  </sheetViews>
  <sheetFormatPr defaultRowHeight="18"/>
  <cols>
    <col min="1" max="1" width="1.85546875" customWidth="1"/>
    <col min="2" max="2" width="66.7109375" customWidth="1"/>
    <col min="3" max="3" width="12.28515625" customWidth="1"/>
    <col min="4" max="4" width="16" customWidth="1"/>
    <col min="5" max="5" width="16.5703125" customWidth="1"/>
    <col min="6" max="6" width="18.42578125" customWidth="1"/>
    <col min="7" max="7" width="15" customWidth="1"/>
    <col min="8" max="8" width="17.42578125" style="84" customWidth="1"/>
    <col min="9" max="9" width="19.85546875" bestFit="1" customWidth="1"/>
    <col min="10" max="10" width="12.28515625" bestFit="1" customWidth="1"/>
    <col min="11" max="11" width="10.28515625" customWidth="1"/>
    <col min="12" max="12" width="15.7109375" customWidth="1"/>
  </cols>
  <sheetData>
    <row r="1" spans="1:13" ht="42" customHeight="1">
      <c r="G1" s="644" t="s">
        <v>193</v>
      </c>
    </row>
    <row r="2" spans="1:13" s="559" customFormat="1" ht="54" customHeight="1">
      <c r="A2" s="563"/>
      <c r="B2" s="1485" t="s">
        <v>1012</v>
      </c>
      <c r="C2" s="1485"/>
      <c r="D2" s="1485"/>
      <c r="E2" s="1485"/>
      <c r="F2" s="1485"/>
      <c r="G2" s="1485"/>
      <c r="H2" s="1033"/>
    </row>
    <row r="3" spans="1:13" s="559" customFormat="1" ht="18.75" customHeight="1" thickBot="1">
      <c r="A3" s="563"/>
      <c r="B3" s="1001" t="s">
        <v>1024</v>
      </c>
      <c r="C3" s="1002"/>
      <c r="D3" s="1003"/>
      <c r="E3" s="1043">
        <f>Паливо!C26</f>
        <v>0.63862460357202466</v>
      </c>
      <c r="F3" s="1043">
        <f>Паливо!D26</f>
        <v>0.33550325488232347</v>
      </c>
      <c r="G3" s="1043">
        <f>Паливо!E26</f>
        <v>2.587214154565181E-2</v>
      </c>
      <c r="H3" s="640"/>
    </row>
    <row r="4" spans="1:13" s="559" customFormat="1" ht="20.25" customHeight="1" thickBot="1">
      <c r="A4" s="558"/>
      <c r="B4" s="1483" t="s">
        <v>701</v>
      </c>
      <c r="C4" s="1481" t="s">
        <v>488</v>
      </c>
      <c r="D4" s="1479" t="s">
        <v>351</v>
      </c>
      <c r="E4" s="1476" t="s">
        <v>505</v>
      </c>
      <c r="F4" s="1477"/>
      <c r="G4" s="1478"/>
      <c r="H4" s="640"/>
    </row>
    <row r="5" spans="1:13" s="559" customFormat="1" ht="45.75" customHeight="1">
      <c r="A5" s="558"/>
      <c r="B5" s="1484"/>
      <c r="C5" s="1482"/>
      <c r="D5" s="1480"/>
      <c r="E5" s="560" t="s">
        <v>698</v>
      </c>
      <c r="F5" s="561" t="s">
        <v>495</v>
      </c>
      <c r="G5" s="562" t="s">
        <v>499</v>
      </c>
      <c r="H5" s="640"/>
    </row>
    <row r="6" spans="1:13" s="557" customFormat="1" ht="42" customHeight="1">
      <c r="A6" s="549"/>
      <c r="B6" s="550" t="s">
        <v>436</v>
      </c>
      <c r="C6" s="551" t="s">
        <v>692</v>
      </c>
      <c r="D6" s="552">
        <f>D7+D17</f>
        <v>26486.625415413415</v>
      </c>
      <c r="E6" s="552">
        <f>E7+E17</f>
        <v>13639.152319360475</v>
      </c>
      <c r="F6" s="552">
        <f>F7+F17</f>
        <v>11927.677100723517</v>
      </c>
      <c r="G6" s="552">
        <f>G7+G17</f>
        <v>919.79599532942541</v>
      </c>
      <c r="H6" s="1034"/>
      <c r="I6" s="554"/>
      <c r="J6" s="555"/>
      <c r="K6" s="556"/>
      <c r="L6" s="556"/>
    </row>
    <row r="7" spans="1:13" s="557" customFormat="1" ht="30" customHeight="1">
      <c r="A7" s="549"/>
      <c r="B7" s="564" t="s">
        <v>396</v>
      </c>
      <c r="C7" s="564" t="s">
        <v>692</v>
      </c>
      <c r="D7" s="565">
        <f>SUM(D8:D13)</f>
        <v>25445.891664094404</v>
      </c>
      <c r="E7" s="565">
        <f>SUM(E8:E13)</f>
        <v>12974.514140000347</v>
      </c>
      <c r="F7" s="565">
        <f>SUM(F8:F13)</f>
        <v>11578.507539690099</v>
      </c>
      <c r="G7" s="565">
        <f>SUM(G8:G13)</f>
        <v>892.8699844039628</v>
      </c>
      <c r="H7" s="1034"/>
      <c r="I7" s="554"/>
      <c r="J7" s="555"/>
      <c r="K7" s="556"/>
      <c r="L7" s="556"/>
    </row>
    <row r="8" spans="1:13" s="559" customFormat="1" ht="30" customHeight="1">
      <c r="A8" s="558"/>
      <c r="B8" s="642" t="s">
        <v>796</v>
      </c>
      <c r="C8" s="567" t="s">
        <v>692</v>
      </c>
      <c r="D8" s="546">
        <f>Прямі!C8</f>
        <v>20753.821955695345</v>
      </c>
      <c r="E8" s="546">
        <f>Прямі!D8</f>
        <v>9978.0429825416904</v>
      </c>
      <c r="F8" s="546">
        <f>Прямі!E8</f>
        <v>10004.30288038746</v>
      </c>
      <c r="G8" s="546">
        <f>Прямі!F8</f>
        <v>771.47609276619721</v>
      </c>
      <c r="H8" s="1034"/>
      <c r="I8" s="554"/>
      <c r="J8" s="555"/>
      <c r="K8" s="556"/>
      <c r="L8" s="556"/>
    </row>
    <row r="9" spans="1:13" s="559" customFormat="1" ht="30" customHeight="1">
      <c r="A9" s="558"/>
      <c r="B9" s="643" t="s">
        <v>786</v>
      </c>
      <c r="C9" s="567" t="s">
        <v>692</v>
      </c>
      <c r="D9" s="546">
        <f>Прямі!C9</f>
        <v>129.55606399999999</v>
      </c>
      <c r="E9" s="546">
        <f>Прямі!D9</f>
        <v>82.737690012351848</v>
      </c>
      <c r="F9" s="546">
        <f>Прямі!E9</f>
        <v>43.466481161742607</v>
      </c>
      <c r="G9" s="546">
        <f>Прямі!F9</f>
        <v>3.3518928259055247</v>
      </c>
      <c r="H9" s="1034"/>
      <c r="I9" s="553"/>
      <c r="J9" s="555"/>
      <c r="K9" s="556"/>
      <c r="L9" s="556"/>
      <c r="M9" s="568"/>
    </row>
    <row r="10" spans="1:13" s="559" customFormat="1" ht="30" customHeight="1">
      <c r="A10" s="558"/>
      <c r="B10" s="569" t="s">
        <v>785</v>
      </c>
      <c r="C10" s="567" t="s">
        <v>692</v>
      </c>
      <c r="D10" s="546">
        <f>Прямі!C10</f>
        <v>57.914999999999999</v>
      </c>
      <c r="E10" s="546">
        <f>Прямі!D10</f>
        <v>36.985943915873811</v>
      </c>
      <c r="F10" s="546">
        <f>Прямі!E10</f>
        <v>19.430671006509762</v>
      </c>
      <c r="G10" s="546">
        <f>Прямі!F10</f>
        <v>1.4983850776164245</v>
      </c>
      <c r="H10" s="1034"/>
      <c r="I10" s="556"/>
      <c r="J10" s="555"/>
      <c r="K10" s="556"/>
      <c r="L10" s="556"/>
    </row>
    <row r="11" spans="1:13" s="559" customFormat="1" ht="30" customHeight="1">
      <c r="A11" s="558"/>
      <c r="B11" s="569" t="s">
        <v>784</v>
      </c>
      <c r="C11" s="567" t="s">
        <v>692</v>
      </c>
      <c r="D11" s="546">
        <f>Прямі!C11</f>
        <v>35.07</v>
      </c>
      <c r="E11" s="546">
        <f>Прямі!D11</f>
        <v>22.396564847270906</v>
      </c>
      <c r="F11" s="546">
        <f>Прямі!E11</f>
        <v>11.766099148723084</v>
      </c>
      <c r="G11" s="546">
        <f>Прямі!F11</f>
        <v>0.907336004006009</v>
      </c>
      <c r="H11" s="1034"/>
      <c r="I11" s="556"/>
      <c r="J11" s="555"/>
      <c r="K11" s="556"/>
      <c r="L11" s="556"/>
    </row>
    <row r="12" spans="1:13" s="559" customFormat="1" ht="30" customHeight="1">
      <c r="A12" s="558"/>
      <c r="B12" s="570" t="s">
        <v>797</v>
      </c>
      <c r="C12" s="567" t="s">
        <v>692</v>
      </c>
      <c r="D12" s="546">
        <f>Прямі!C12</f>
        <v>2949.1707543936</v>
      </c>
      <c r="E12" s="546">
        <f>Прямі!D12</f>
        <v>1883.4130038908218</v>
      </c>
      <c r="F12" s="546">
        <f>Прямі!E12</f>
        <v>989.45638730281019</v>
      </c>
      <c r="G12" s="546">
        <f>Прямі!F12</f>
        <v>76.301363199967952</v>
      </c>
      <c r="H12" s="1034"/>
      <c r="I12" s="556"/>
      <c r="J12" s="555"/>
      <c r="K12" s="556"/>
      <c r="L12" s="556"/>
    </row>
    <row r="13" spans="1:13" s="559" customFormat="1" ht="30" customHeight="1">
      <c r="A13" s="558"/>
      <c r="B13" s="571" t="s">
        <v>791</v>
      </c>
      <c r="C13" s="572" t="s">
        <v>692</v>
      </c>
      <c r="D13" s="573">
        <f>Прямі!C13</f>
        <v>1520.357890005459</v>
      </c>
      <c r="E13" s="573">
        <f>E14+E15+E16</f>
        <v>970.9379547923362</v>
      </c>
      <c r="F13" s="573">
        <f>F14+F15+F16</f>
        <v>510.08502068285304</v>
      </c>
      <c r="G13" s="573">
        <f>G14+G15+G16</f>
        <v>39.334914530269764</v>
      </c>
      <c r="H13" s="1034"/>
      <c r="I13" s="556"/>
      <c r="J13" s="555"/>
      <c r="K13" s="556"/>
      <c r="L13" s="556"/>
    </row>
    <row r="14" spans="1:13" s="559" customFormat="1" ht="30" customHeight="1">
      <c r="A14" s="558"/>
      <c r="B14" s="570" t="s">
        <v>798</v>
      </c>
      <c r="C14" s="567" t="s">
        <v>692</v>
      </c>
      <c r="D14" s="546">
        <f>Прямі!C14</f>
        <v>630.23489000545908</v>
      </c>
      <c r="E14" s="546">
        <f>Прямі!D14</f>
        <v>402.48350678699489</v>
      </c>
      <c r="F14" s="546">
        <f>Прямі!E14</f>
        <v>211.44585693723462</v>
      </c>
      <c r="G14" s="546">
        <f>Прямі!F14</f>
        <v>16.305526281229536</v>
      </c>
      <c r="H14" s="1034"/>
      <c r="I14" s="574"/>
      <c r="J14" s="555"/>
      <c r="K14" s="556"/>
      <c r="L14" s="556"/>
    </row>
    <row r="15" spans="1:13" s="559" customFormat="1" ht="30" customHeight="1">
      <c r="A15" s="558"/>
      <c r="B15" s="570" t="s">
        <v>799</v>
      </c>
      <c r="C15" s="567" t="s">
        <v>692</v>
      </c>
      <c r="D15" s="546">
        <f>Прямі!C15</f>
        <v>143.12299999999999</v>
      </c>
      <c r="E15" s="546">
        <f>Прямі!D15</f>
        <v>91.401869137038886</v>
      </c>
      <c r="F15" s="546">
        <f>Прямі!E15</f>
        <v>48.01823234852278</v>
      </c>
      <c r="G15" s="546">
        <f>Прямі!F15</f>
        <v>3.7028985144383237</v>
      </c>
      <c r="H15" s="1034"/>
      <c r="I15" s="556"/>
      <c r="J15" s="555"/>
      <c r="K15" s="556"/>
      <c r="L15" s="556"/>
    </row>
    <row r="16" spans="1:13" s="559" customFormat="1" ht="30" customHeight="1">
      <c r="A16" s="558"/>
      <c r="B16" s="570" t="s">
        <v>800</v>
      </c>
      <c r="C16" s="567" t="s">
        <v>692</v>
      </c>
      <c r="D16" s="546">
        <f>Прямі!C16</f>
        <v>747</v>
      </c>
      <c r="E16" s="546">
        <f>Прямі!D16</f>
        <v>477.05257886830242</v>
      </c>
      <c r="F16" s="546">
        <f>Прямі!E16</f>
        <v>250.62093139709563</v>
      </c>
      <c r="G16" s="546">
        <f>Прямі!F16</f>
        <v>19.326489734601903</v>
      </c>
      <c r="H16" s="1034"/>
      <c r="I16" s="555"/>
      <c r="J16" s="555"/>
      <c r="K16" s="556"/>
      <c r="L16" s="556"/>
    </row>
    <row r="17" spans="1:13" s="557" customFormat="1" ht="30" customHeight="1">
      <c r="A17" s="549"/>
      <c r="B17" s="564" t="s">
        <v>697</v>
      </c>
      <c r="C17" s="564" t="s">
        <v>692</v>
      </c>
      <c r="D17" s="565">
        <f>D18+D19+D20</f>
        <v>1040.7337513190089</v>
      </c>
      <c r="E17" s="565">
        <f t="shared" ref="E17:G25" si="0">$D17*E$3</f>
        <v>664.63817936012811</v>
      </c>
      <c r="F17" s="565">
        <f t="shared" si="0"/>
        <v>349.16956103341806</v>
      </c>
      <c r="G17" s="565">
        <f t="shared" si="0"/>
        <v>26.926010925462588</v>
      </c>
      <c r="H17" s="1034"/>
      <c r="I17" s="555"/>
      <c r="J17" s="555"/>
      <c r="K17" s="556"/>
      <c r="L17" s="556"/>
    </row>
    <row r="18" spans="1:13" s="557" customFormat="1" ht="30" customHeight="1">
      <c r="A18" s="549"/>
      <c r="B18" s="570" t="s">
        <v>801</v>
      </c>
      <c r="C18" s="567" t="s">
        <v>723</v>
      </c>
      <c r="D18" s="546">
        <f>З_вироб!D9</f>
        <v>693.54953107835786</v>
      </c>
      <c r="E18" s="546">
        <f>$D18*E$3</f>
        <v>442.91779434247991</v>
      </c>
      <c r="F18" s="546">
        <f t="shared" si="0"/>
        <v>232.68812509889821</v>
      </c>
      <c r="G18" s="546">
        <f t="shared" si="0"/>
        <v>17.943611636979714</v>
      </c>
      <c r="H18" s="1034"/>
      <c r="I18" s="555"/>
      <c r="J18" s="555"/>
      <c r="K18" s="556"/>
      <c r="L18" s="556"/>
    </row>
    <row r="19" spans="1:13" s="557" customFormat="1" ht="30" customHeight="1">
      <c r="A19" s="549"/>
      <c r="B19" s="570" t="s">
        <v>798</v>
      </c>
      <c r="C19" s="567" t="s">
        <v>723</v>
      </c>
      <c r="D19" s="546">
        <f>З_вироб!D10</f>
        <v>152.58089683723873</v>
      </c>
      <c r="E19" s="546">
        <f>$D19*E$3</f>
        <v>97.441914755345579</v>
      </c>
      <c r="F19" s="546">
        <f t="shared" si="0"/>
        <v>51.191387521757605</v>
      </c>
      <c r="G19" s="546">
        <f t="shared" si="0"/>
        <v>3.9475945601355367</v>
      </c>
      <c r="H19" s="1034"/>
      <c r="I19" s="575"/>
      <c r="J19" s="576"/>
      <c r="K19" s="556"/>
      <c r="L19" s="556"/>
    </row>
    <row r="20" spans="1:13" s="557" customFormat="1" ht="30" customHeight="1">
      <c r="A20" s="549"/>
      <c r="B20" s="570" t="s">
        <v>802</v>
      </c>
      <c r="C20" s="567" t="s">
        <v>723</v>
      </c>
      <c r="D20" s="546">
        <f>З_вироб!D8-'Повна собів'!D19-'Повна собів'!D18</f>
        <v>194.60332340341233</v>
      </c>
      <c r="E20" s="546">
        <f>$D20*E$3</f>
        <v>124.2784702623027</v>
      </c>
      <c r="F20" s="546">
        <f t="shared" si="0"/>
        <v>65.290048412762275</v>
      </c>
      <c r="G20" s="546">
        <f t="shared" si="0"/>
        <v>5.0348047283473392</v>
      </c>
      <c r="H20" s="1034"/>
      <c r="I20" s="555"/>
      <c r="J20" s="555"/>
      <c r="K20" s="556"/>
      <c r="L20" s="556"/>
    </row>
    <row r="21" spans="1:13" s="578" customFormat="1" ht="30" customHeight="1">
      <c r="A21" s="577"/>
      <c r="B21" s="564" t="s">
        <v>695</v>
      </c>
      <c r="C21" s="564" t="s">
        <v>692</v>
      </c>
      <c r="D21" s="565">
        <f>D22+D23+D24</f>
        <v>1125.9012196031613</v>
      </c>
      <c r="E21" s="565">
        <f t="shared" si="0"/>
        <v>719.02822003032793</v>
      </c>
      <c r="F21" s="565">
        <f t="shared" si="0"/>
        <v>377.74352385283828</v>
      </c>
      <c r="G21" s="565">
        <f t="shared" si="0"/>
        <v>29.129475719994989</v>
      </c>
      <c r="H21" s="1034"/>
      <c r="I21" s="575"/>
      <c r="J21" s="575"/>
      <c r="K21" s="555"/>
      <c r="L21" s="553"/>
    </row>
    <row r="22" spans="1:13" s="578" customFormat="1" ht="30" customHeight="1">
      <c r="A22" s="577"/>
      <c r="B22" s="570" t="s">
        <v>801</v>
      </c>
      <c r="C22" s="567" t="s">
        <v>723</v>
      </c>
      <c r="D22" s="546">
        <f>Адмін!E9</f>
        <v>787.53603575770819</v>
      </c>
      <c r="E22" s="546">
        <f>$D22*E$3</f>
        <v>502.93988863445026</v>
      </c>
      <c r="F22" s="546">
        <f t="shared" si="0"/>
        <v>264.22090333383295</v>
      </c>
      <c r="G22" s="546">
        <f t="shared" si="0"/>
        <v>20.375243789424932</v>
      </c>
      <c r="H22" s="1034"/>
      <c r="I22" s="575"/>
      <c r="J22" s="575"/>
      <c r="K22" s="555"/>
      <c r="L22" s="553"/>
    </row>
    <row r="23" spans="1:13" s="578" customFormat="1" ht="30" customHeight="1">
      <c r="A23" s="577"/>
      <c r="B23" s="570" t="s">
        <v>798</v>
      </c>
      <c r="C23" s="567" t="s">
        <v>723</v>
      </c>
      <c r="D23" s="546">
        <f>Адмін!E10</f>
        <v>162.35930015985443</v>
      </c>
      <c r="E23" s="546">
        <f>$D23*E$3</f>
        <v>103.68664370081839</v>
      </c>
      <c r="F23" s="546">
        <f t="shared" si="0"/>
        <v>54.472073664047301</v>
      </c>
      <c r="G23" s="546">
        <f t="shared" si="0"/>
        <v>4.2005827949887227</v>
      </c>
      <c r="H23" s="1034"/>
      <c r="I23" s="575"/>
      <c r="J23" s="575"/>
      <c r="K23" s="555"/>
      <c r="L23" s="553"/>
    </row>
    <row r="24" spans="1:13" s="578" customFormat="1" ht="30" customHeight="1">
      <c r="A24" s="577"/>
      <c r="B24" s="570" t="s">
        <v>802</v>
      </c>
      <c r="C24" s="567" t="s">
        <v>723</v>
      </c>
      <c r="D24" s="546">
        <f>Адмін!E11</f>
        <v>176.0058836855986</v>
      </c>
      <c r="E24" s="546">
        <f>$D24*E$3</f>
        <v>112.40168769505929</v>
      </c>
      <c r="F24" s="546">
        <f t="shared" si="0"/>
        <v>59.050546854957965</v>
      </c>
      <c r="G24" s="546">
        <f t="shared" si="0"/>
        <v>4.5536491355813355</v>
      </c>
      <c r="H24" s="1034"/>
      <c r="I24" s="575"/>
      <c r="J24" s="575"/>
      <c r="K24" s="555"/>
      <c r="L24" s="553"/>
    </row>
    <row r="25" spans="1:13" s="578" customFormat="1" ht="30" customHeight="1">
      <c r="A25" s="580"/>
      <c r="B25" s="581" t="s">
        <v>685</v>
      </c>
      <c r="C25" s="564" t="s">
        <v>692</v>
      </c>
      <c r="D25" s="565">
        <v>0</v>
      </c>
      <c r="E25" s="579">
        <f>$D25*E$3</f>
        <v>0</v>
      </c>
      <c r="F25" s="579">
        <f t="shared" si="0"/>
        <v>0</v>
      </c>
      <c r="G25" s="579">
        <f t="shared" si="0"/>
        <v>0</v>
      </c>
      <c r="H25" s="1034"/>
      <c r="I25" s="575"/>
      <c r="J25" s="575"/>
      <c r="K25" s="555"/>
      <c r="L25" s="553"/>
    </row>
    <row r="26" spans="1:13" s="557" customFormat="1" ht="30" customHeight="1">
      <c r="A26" s="582"/>
      <c r="B26" s="550" t="s">
        <v>686</v>
      </c>
      <c r="C26" s="551" t="s">
        <v>692</v>
      </c>
      <c r="D26" s="552">
        <f>D25+D21+D17+D7</f>
        <v>27612.526635016577</v>
      </c>
      <c r="E26" s="552">
        <f>E25+E21+E17+E7</f>
        <v>14358.180539390803</v>
      </c>
      <c r="F26" s="552">
        <f>F25+F21+F17+F7</f>
        <v>12305.420624576356</v>
      </c>
      <c r="G26" s="552">
        <f>G25+G21+G17+G7</f>
        <v>948.92547104942037</v>
      </c>
      <c r="H26" s="1034"/>
      <c r="I26" s="575"/>
      <c r="J26" s="575"/>
      <c r="K26" s="576"/>
      <c r="L26" s="575"/>
      <c r="M26" s="578"/>
    </row>
    <row r="27" spans="1:13" s="578" customFormat="1" ht="30" customHeight="1">
      <c r="A27" s="577"/>
      <c r="B27" s="583" t="s">
        <v>696</v>
      </c>
      <c r="C27" s="584" t="s">
        <v>692</v>
      </c>
      <c r="D27" s="579">
        <v>0</v>
      </c>
      <c r="E27" s="579">
        <v>0</v>
      </c>
      <c r="F27" s="579">
        <v>0</v>
      </c>
      <c r="G27" s="579">
        <v>0</v>
      </c>
      <c r="H27" s="1035"/>
      <c r="M27" s="585"/>
    </row>
    <row r="28" spans="1:13" s="557" customFormat="1" ht="30" customHeight="1">
      <c r="A28" s="549"/>
      <c r="B28" s="599" t="s">
        <v>808</v>
      </c>
      <c r="C28" s="564" t="s">
        <v>692</v>
      </c>
      <c r="D28" s="565">
        <f>D26+D27</f>
        <v>27612.526635016577</v>
      </c>
      <c r="E28" s="565">
        <f>E26+E27</f>
        <v>14358.180539390803</v>
      </c>
      <c r="F28" s="565">
        <f>F26+F27</f>
        <v>12305.420624576356</v>
      </c>
      <c r="G28" s="565">
        <f>G26+G27</f>
        <v>948.92547104942037</v>
      </c>
      <c r="H28" s="1036"/>
      <c r="K28" s="559"/>
    </row>
    <row r="29" spans="1:13" s="559" customFormat="1" ht="30" customHeight="1">
      <c r="A29" s="558"/>
      <c r="B29" s="599" t="s">
        <v>689</v>
      </c>
      <c r="C29" s="564" t="s">
        <v>404</v>
      </c>
      <c r="D29" s="548">
        <f>D28/D30*1000</f>
        <v>2050.9935850120019</v>
      </c>
      <c r="E29" s="548">
        <f>E28/E30*1000</f>
        <v>1669.9824915870818</v>
      </c>
      <c r="F29" s="548">
        <f>F28/F30*1000</f>
        <v>2724.3185011522996</v>
      </c>
      <c r="G29" s="548">
        <f>G28/G30*1000</f>
        <v>2724.3185011522992</v>
      </c>
      <c r="H29" s="639"/>
      <c r="J29" s="568"/>
    </row>
    <row r="30" spans="1:13" s="559" customFormat="1" ht="36.75" customHeight="1">
      <c r="A30" s="558"/>
      <c r="B30" s="993" t="s">
        <v>1015</v>
      </c>
      <c r="C30" s="584" t="s">
        <v>710</v>
      </c>
      <c r="D30" s="604">
        <f>SUM(E30:G30)</f>
        <v>13462.999999999998</v>
      </c>
      <c r="E30" s="601">
        <f>Паливо!D7</f>
        <v>8597.8030378901676</v>
      </c>
      <c r="F30" s="601">
        <f>Паливо!E7</f>
        <v>4516.8803204807209</v>
      </c>
      <c r="G30" s="601">
        <f>Паливо!F7</f>
        <v>348.31664162911034</v>
      </c>
      <c r="H30" s="639"/>
      <c r="J30" s="568"/>
    </row>
    <row r="31" spans="1:13" s="559" customFormat="1">
      <c r="A31" s="558"/>
      <c r="B31" s="588"/>
      <c r="C31" s="588"/>
      <c r="D31" s="544"/>
      <c r="E31" s="544"/>
      <c r="F31" s="544"/>
      <c r="G31" s="544"/>
      <c r="H31" s="639"/>
      <c r="J31" s="568"/>
    </row>
    <row r="32" spans="1:13" s="640" customFormat="1" ht="44.25" customHeight="1">
      <c r="A32" s="635"/>
      <c r="B32" s="636" t="s">
        <v>368</v>
      </c>
      <c r="C32" s="637"/>
      <c r="D32" s="638"/>
      <c r="E32" s="638"/>
      <c r="F32" s="1475" t="s">
        <v>369</v>
      </c>
      <c r="G32" s="1475"/>
      <c r="H32" s="639"/>
      <c r="J32" s="641"/>
    </row>
    <row r="33" spans="1:9" s="559" customFormat="1" ht="27.75" customHeight="1">
      <c r="A33" s="558"/>
      <c r="B33" s="589"/>
      <c r="C33" s="589"/>
      <c r="D33" s="590"/>
      <c r="E33" s="591"/>
      <c r="F33" s="1473" t="s">
        <v>194</v>
      </c>
      <c r="G33" s="1473"/>
      <c r="H33" s="1037"/>
      <c r="I33" s="593"/>
    </row>
    <row r="34" spans="1:9" s="559" customFormat="1" ht="49.5" customHeight="1">
      <c r="A34" s="558"/>
      <c r="B34" s="1474" t="s">
        <v>1013</v>
      </c>
      <c r="C34" s="1474"/>
      <c r="D34" s="1474"/>
      <c r="E34" s="1474"/>
      <c r="F34" s="1474"/>
      <c r="G34" s="1474"/>
      <c r="H34" s="1037"/>
      <c r="I34" s="593"/>
    </row>
    <row r="35" spans="1:9" s="559" customFormat="1" ht="22.5" customHeight="1" thickBot="1">
      <c r="A35" s="558"/>
      <c r="B35" s="1001" t="s">
        <v>391</v>
      </c>
      <c r="C35" s="1002"/>
      <c r="D35" s="1003"/>
      <c r="E35" s="1043">
        <f>Паливо!C26</f>
        <v>0.63862460357202466</v>
      </c>
      <c r="F35" s="1043">
        <f>Паливо!D26</f>
        <v>0.33550325488232347</v>
      </c>
      <c r="G35" s="1043">
        <f>Паливо!E26</f>
        <v>2.587214154565181E-2</v>
      </c>
      <c r="H35" s="1037"/>
      <c r="I35" s="593"/>
    </row>
    <row r="36" spans="1:9" s="559" customFormat="1" ht="16.5" customHeight="1" thickBot="1">
      <c r="A36" s="558"/>
      <c r="B36" s="1483" t="s">
        <v>701</v>
      </c>
      <c r="C36" s="1481" t="s">
        <v>488</v>
      </c>
      <c r="D36" s="1479" t="s">
        <v>351</v>
      </c>
      <c r="E36" s="1476" t="s">
        <v>505</v>
      </c>
      <c r="F36" s="1477"/>
      <c r="G36" s="1478"/>
      <c r="H36" s="1037"/>
      <c r="I36" s="593"/>
    </row>
    <row r="37" spans="1:9" s="559" customFormat="1" ht="42.75" customHeight="1">
      <c r="A37" s="558"/>
      <c r="B37" s="1484"/>
      <c r="C37" s="1482"/>
      <c r="D37" s="1480"/>
      <c r="E37" s="560" t="s">
        <v>698</v>
      </c>
      <c r="F37" s="594" t="s">
        <v>495</v>
      </c>
      <c r="G37" s="562" t="s">
        <v>499</v>
      </c>
      <c r="H37" s="1037"/>
      <c r="I37" s="593"/>
    </row>
    <row r="38" spans="1:9" s="559" customFormat="1" ht="45" customHeight="1">
      <c r="A38" s="558"/>
      <c r="B38" s="550" t="s">
        <v>436</v>
      </c>
      <c r="C38" s="550" t="s">
        <v>692</v>
      </c>
      <c r="D38" s="552">
        <f>D39+D50</f>
        <v>6884.8421922211219</v>
      </c>
      <c r="E38" s="552">
        <f>E39+E50</f>
        <v>4396.8296156631632</v>
      </c>
      <c r="F38" s="552">
        <f>F39+F50</f>
        <v>2309.8869648413379</v>
      </c>
      <c r="G38" s="552">
        <f>G39+G50</f>
        <v>178.12561171662057</v>
      </c>
      <c r="H38" s="1036"/>
      <c r="I38" s="593"/>
    </row>
    <row r="39" spans="1:9" s="559" customFormat="1" ht="30" customHeight="1">
      <c r="A39" s="558"/>
      <c r="B39" s="581" t="s">
        <v>396</v>
      </c>
      <c r="C39" s="564" t="s">
        <v>692</v>
      </c>
      <c r="D39" s="565">
        <f>SUM(D40:D45)</f>
        <v>6615.3912165573993</v>
      </c>
      <c r="E39" s="565">
        <f>SUM(E40:E45)</f>
        <v>4224.7515931478229</v>
      </c>
      <c r="F39" s="565">
        <f>SUM(F40:F45)</f>
        <v>2219.4852854749411</v>
      </c>
      <c r="G39" s="565">
        <f>SUM(G40:G45)</f>
        <v>171.15433793463475</v>
      </c>
      <c r="H39" s="1036"/>
      <c r="I39" s="593"/>
    </row>
    <row r="40" spans="1:9" s="559" customFormat="1" ht="30" customHeight="1">
      <c r="A40" s="558"/>
      <c r="B40" s="566" t="s">
        <v>787</v>
      </c>
      <c r="C40" s="567" t="s">
        <v>692</v>
      </c>
      <c r="D40" s="546">
        <f>Прямі!C26</f>
        <v>0</v>
      </c>
      <c r="E40" s="546">
        <f>Прямі!D26</f>
        <v>0</v>
      </c>
      <c r="F40" s="546">
        <f>Прямі!E26</f>
        <v>0</v>
      </c>
      <c r="G40" s="546">
        <f>Прямі!F26</f>
        <v>0</v>
      </c>
      <c r="H40" s="1036"/>
      <c r="I40" s="593"/>
    </row>
    <row r="41" spans="1:9" s="559" customFormat="1" ht="30" customHeight="1">
      <c r="A41" s="558"/>
      <c r="B41" s="566" t="s">
        <v>683</v>
      </c>
      <c r="C41" s="567" t="s">
        <v>692</v>
      </c>
      <c r="D41" s="546">
        <f>Прямі!C27</f>
        <v>1588.129044</v>
      </c>
      <c r="E41" s="546">
        <f>D41*$E$35</f>
        <v>1014.2182811457185</v>
      </c>
      <c r="F41" s="546">
        <f>D41*$F$35</f>
        <v>532.82246343515271</v>
      </c>
      <c r="G41" s="546">
        <f>D41*$G$35</f>
        <v>41.088299419128688</v>
      </c>
      <c r="H41" s="1036"/>
      <c r="I41" s="593"/>
    </row>
    <row r="42" spans="1:9" s="559" customFormat="1" ht="30" customHeight="1">
      <c r="A42" s="558"/>
      <c r="B42" s="595" t="s">
        <v>785</v>
      </c>
      <c r="C42" s="567" t="s">
        <v>692</v>
      </c>
      <c r="D42" s="546">
        <f>Прямі!C28</f>
        <v>130.02275</v>
      </c>
      <c r="E42" s="546">
        <f t="shared" ref="E42:E57" si="1">D42*$E$35</f>
        <v>83.035727174094475</v>
      </c>
      <c r="F42" s="546">
        <f t="shared" ref="F42:F57" si="2">D42*$F$35</f>
        <v>43.623055833750627</v>
      </c>
      <c r="G42" s="546">
        <f t="shared" ref="G42:G57" si="3">D42*$G$35</f>
        <v>3.3639669921548987</v>
      </c>
      <c r="H42" s="1036"/>
      <c r="I42" s="593"/>
    </row>
    <row r="43" spans="1:9" s="559" customFormat="1" ht="30" customHeight="1">
      <c r="A43" s="558"/>
      <c r="B43" s="595" t="s">
        <v>784</v>
      </c>
      <c r="C43" s="567" t="s">
        <v>692</v>
      </c>
      <c r="D43" s="546">
        <f>Прямі!C29</f>
        <v>268.56791500000003</v>
      </c>
      <c r="E43" s="546">
        <f t="shared" si="1"/>
        <v>171.51407824904024</v>
      </c>
      <c r="F43" s="546">
        <f t="shared" si="2"/>
        <v>90.105409639459197</v>
      </c>
      <c r="G43" s="546">
        <f t="shared" si="3"/>
        <v>6.9484271115005845</v>
      </c>
      <c r="H43" s="1036"/>
      <c r="I43" s="593"/>
    </row>
    <row r="44" spans="1:9" s="559" customFormat="1" ht="30" customHeight="1">
      <c r="A44" s="558"/>
      <c r="B44" s="596" t="s">
        <v>700</v>
      </c>
      <c r="C44" s="567" t="s">
        <v>692</v>
      </c>
      <c r="D44" s="546">
        <f>Прямі!C30</f>
        <v>843.79426897920007</v>
      </c>
      <c r="E44" s="546">
        <f t="shared" si="1"/>
        <v>538.867780523188</v>
      </c>
      <c r="F44" s="546">
        <f t="shared" si="2"/>
        <v>283.09572369357238</v>
      </c>
      <c r="G44" s="546">
        <f t="shared" si="3"/>
        <v>21.83076476243966</v>
      </c>
      <c r="H44" s="1036"/>
      <c r="I44" s="593"/>
    </row>
    <row r="45" spans="1:9" s="559" customFormat="1" ht="30" customHeight="1">
      <c r="A45" s="558"/>
      <c r="B45" s="1040" t="s">
        <v>493</v>
      </c>
      <c r="C45" s="1041" t="s">
        <v>692</v>
      </c>
      <c r="D45" s="1042">
        <f>Прямі!C31</f>
        <v>3784.877238578199</v>
      </c>
      <c r="E45" s="1042">
        <f t="shared" si="1"/>
        <v>2417.1157260557816</v>
      </c>
      <c r="F45" s="1042">
        <f t="shared" si="2"/>
        <v>1269.8386328730062</v>
      </c>
      <c r="G45" s="1042">
        <f t="shared" si="3"/>
        <v>97.922879649410916</v>
      </c>
      <c r="H45" s="1036"/>
      <c r="I45" s="593"/>
    </row>
    <row r="46" spans="1:9" s="559" customFormat="1" ht="30" customHeight="1">
      <c r="A46" s="558"/>
      <c r="B46" s="597" t="s">
        <v>765</v>
      </c>
      <c r="C46" s="567" t="s">
        <v>692</v>
      </c>
      <c r="D46" s="546">
        <f>Прямі!C32</f>
        <v>185.63473917542399</v>
      </c>
      <c r="E46" s="546">
        <f t="shared" si="1"/>
        <v>118.55091171510134</v>
      </c>
      <c r="F46" s="546">
        <f t="shared" si="2"/>
        <v>62.281059212585909</v>
      </c>
      <c r="G46" s="546">
        <f t="shared" si="3"/>
        <v>4.8027682477367248</v>
      </c>
      <c r="H46" s="1036"/>
      <c r="I46" s="593"/>
    </row>
    <row r="47" spans="1:9" s="559" customFormat="1" ht="30" customHeight="1">
      <c r="A47" s="558"/>
      <c r="B47" s="597" t="s">
        <v>389</v>
      </c>
      <c r="C47" s="567" t="s">
        <v>692</v>
      </c>
      <c r="D47" s="546">
        <f>Прямі!C33</f>
        <v>2.2210000000000001</v>
      </c>
      <c r="E47" s="546">
        <f t="shared" si="1"/>
        <v>1.4183852445334668</v>
      </c>
      <c r="F47" s="546">
        <f t="shared" si="2"/>
        <v>0.7451527290936405</v>
      </c>
      <c r="G47" s="546">
        <f t="shared" si="3"/>
        <v>5.7462026372892674E-2</v>
      </c>
      <c r="H47" s="1036"/>
      <c r="I47" s="593"/>
    </row>
    <row r="48" spans="1:9" s="559" customFormat="1" ht="30" customHeight="1">
      <c r="A48" s="558"/>
      <c r="B48" s="597" t="s">
        <v>493</v>
      </c>
      <c r="C48" s="567" t="s">
        <v>692</v>
      </c>
      <c r="D48" s="546">
        <f>Прямі!C34</f>
        <v>559.5</v>
      </c>
      <c r="E48" s="546">
        <f t="shared" si="1"/>
        <v>357.31046569854777</v>
      </c>
      <c r="F48" s="546">
        <f t="shared" si="2"/>
        <v>187.71407110665999</v>
      </c>
      <c r="G48" s="546">
        <f t="shared" si="3"/>
        <v>14.475463194792187</v>
      </c>
      <c r="H48" s="1036"/>
      <c r="I48" s="593"/>
    </row>
    <row r="49" spans="1:9" s="559" customFormat="1" ht="30" customHeight="1">
      <c r="A49" s="558"/>
      <c r="B49" s="1220" t="s">
        <v>271</v>
      </c>
      <c r="C49" s="567" t="s">
        <v>692</v>
      </c>
      <c r="D49" s="546">
        <f>Прямі!C35</f>
        <v>3037.5214994027751</v>
      </c>
      <c r="E49" s="546">
        <f>Прямі!D35</f>
        <v>1579.4745137664547</v>
      </c>
      <c r="F49" s="546">
        <f>Прямі!E35</f>
        <v>1353.6602499441124</v>
      </c>
      <c r="G49" s="546">
        <f>Прямі!F35</f>
        <v>104.38673569220764</v>
      </c>
      <c r="H49" s="1036"/>
      <c r="I49" s="593"/>
    </row>
    <row r="50" spans="1:9" s="559" customFormat="1" ht="30" customHeight="1">
      <c r="A50" s="558"/>
      <c r="B50" s="581" t="s">
        <v>697</v>
      </c>
      <c r="C50" s="564" t="s">
        <v>692</v>
      </c>
      <c r="D50" s="565">
        <f>З_вироб!E8</f>
        <v>269.45097566372294</v>
      </c>
      <c r="E50" s="579">
        <f t="shared" si="1"/>
        <v>172.07802251534034</v>
      </c>
      <c r="F50" s="579">
        <f t="shared" si="2"/>
        <v>90.401679366396777</v>
      </c>
      <c r="G50" s="579">
        <f t="shared" si="3"/>
        <v>6.971273781985821</v>
      </c>
      <c r="H50" s="1036"/>
      <c r="I50" s="593"/>
    </row>
    <row r="51" spans="1:9" s="559" customFormat="1" ht="30" customHeight="1">
      <c r="A51" s="558"/>
      <c r="B51" s="597" t="s">
        <v>766</v>
      </c>
      <c r="C51" s="567" t="s">
        <v>723</v>
      </c>
      <c r="D51" s="546">
        <f>З_вироб!E9</f>
        <v>198.4331082577346</v>
      </c>
      <c r="E51" s="546">
        <f t="shared" si="1"/>
        <v>126.72426509666042</v>
      </c>
      <c r="F51" s="546">
        <f t="shared" si="2"/>
        <v>66.574953696886411</v>
      </c>
      <c r="G51" s="546">
        <f t="shared" si="3"/>
        <v>5.1338894641877584</v>
      </c>
      <c r="H51" s="1036"/>
      <c r="I51" s="593"/>
    </row>
    <row r="52" spans="1:9" s="559" customFormat="1" ht="30" customHeight="1">
      <c r="A52" s="558"/>
      <c r="B52" s="597" t="s">
        <v>765</v>
      </c>
      <c r="C52" s="567" t="s">
        <v>723</v>
      </c>
      <c r="D52" s="546">
        <f>З_вироб!E10</f>
        <v>43.655283816701612</v>
      </c>
      <c r="E52" s="546">
        <f t="shared" si="1"/>
        <v>27.879338321265291</v>
      </c>
      <c r="F52" s="546">
        <f t="shared" si="2"/>
        <v>14.646489813315011</v>
      </c>
      <c r="G52" s="546">
        <f t="shared" si="3"/>
        <v>1.1294556821213069</v>
      </c>
      <c r="H52" s="1036"/>
      <c r="I52" s="593"/>
    </row>
    <row r="53" spans="1:9" s="559" customFormat="1" ht="30" customHeight="1">
      <c r="A53" s="558"/>
      <c r="B53" s="597" t="s">
        <v>767</v>
      </c>
      <c r="C53" s="567" t="s">
        <v>723</v>
      </c>
      <c r="D53" s="546">
        <f>З_вироб!E11</f>
        <v>27.362583589286697</v>
      </c>
      <c r="E53" s="546">
        <f t="shared" si="1"/>
        <v>17.474419097414604</v>
      </c>
      <c r="F53" s="546">
        <f t="shared" si="2"/>
        <v>9.1802358561953366</v>
      </c>
      <c r="G53" s="546">
        <f t="shared" si="3"/>
        <v>0.70792863567675479</v>
      </c>
      <c r="H53" s="1036"/>
      <c r="I53" s="593"/>
    </row>
    <row r="54" spans="1:9" s="559" customFormat="1" ht="30" customHeight="1">
      <c r="A54" s="558"/>
      <c r="B54" s="581" t="s">
        <v>695</v>
      </c>
      <c r="C54" s="564" t="s">
        <v>692</v>
      </c>
      <c r="D54" s="565">
        <f>Адмін!F8</f>
        <v>272.9003141104929</v>
      </c>
      <c r="E54" s="579">
        <f t="shared" si="1"/>
        <v>174.28085491349452</v>
      </c>
      <c r="F54" s="579">
        <f t="shared" si="2"/>
        <v>91.558943642478837</v>
      </c>
      <c r="G54" s="579">
        <f t="shared" si="3"/>
        <v>7.0605155545195117</v>
      </c>
      <c r="H54" s="1036"/>
      <c r="I54" s="593"/>
    </row>
    <row r="55" spans="1:9" s="559" customFormat="1" ht="30" customHeight="1">
      <c r="A55" s="558"/>
      <c r="B55" s="597" t="s">
        <v>766</v>
      </c>
      <c r="C55" s="567" t="s">
        <v>723</v>
      </c>
      <c r="D55" s="546">
        <f>Адмін!F9</f>
        <v>225.32381097193843</v>
      </c>
      <c r="E55" s="546">
        <f t="shared" si="1"/>
        <v>143.89732945729199</v>
      </c>
      <c r="F55" s="546">
        <f t="shared" si="2"/>
        <v>75.596871983574729</v>
      </c>
      <c r="G55" s="546">
        <f t="shared" si="3"/>
        <v>5.8296095310716831</v>
      </c>
      <c r="H55" s="1036"/>
      <c r="I55" s="593"/>
    </row>
    <row r="56" spans="1:9" s="559" customFormat="1" ht="30" customHeight="1">
      <c r="A56" s="558"/>
      <c r="B56" s="597" t="s">
        <v>765</v>
      </c>
      <c r="C56" s="567" t="s">
        <v>723</v>
      </c>
      <c r="D56" s="546">
        <f>Адмін!F10</f>
        <v>22.828849191401869</v>
      </c>
      <c r="E56" s="546">
        <f t="shared" si="1"/>
        <v>14.579064764864555</v>
      </c>
      <c r="F56" s="546">
        <f t="shared" si="2"/>
        <v>7.6591532089330254</v>
      </c>
      <c r="G56" s="546">
        <f t="shared" si="3"/>
        <v>0.59063121760428805</v>
      </c>
      <c r="H56" s="1036"/>
      <c r="I56" s="593"/>
    </row>
    <row r="57" spans="1:9" s="559" customFormat="1" ht="30" customHeight="1">
      <c r="A57" s="558"/>
      <c r="B57" s="597" t="s">
        <v>767</v>
      </c>
      <c r="C57" s="567" t="s">
        <v>723</v>
      </c>
      <c r="D57" s="546">
        <f>Адмін!F11</f>
        <v>24.747653947152571</v>
      </c>
      <c r="E57" s="546">
        <f t="shared" si="1"/>
        <v>15.804460691337962</v>
      </c>
      <c r="F57" s="546">
        <f t="shared" si="2"/>
        <v>8.3029184499710667</v>
      </c>
      <c r="G57" s="546">
        <f t="shared" si="3"/>
        <v>0.64027480584354002</v>
      </c>
      <c r="H57" s="1036"/>
      <c r="I57" s="593"/>
    </row>
    <row r="58" spans="1:9" s="559" customFormat="1" ht="30" customHeight="1">
      <c r="A58" s="558"/>
      <c r="B58" s="581" t="s">
        <v>684</v>
      </c>
      <c r="C58" s="564" t="s">
        <v>692</v>
      </c>
      <c r="D58" s="565">
        <v>0</v>
      </c>
      <c r="E58" s="565">
        <v>0</v>
      </c>
      <c r="F58" s="565">
        <v>0</v>
      </c>
      <c r="G58" s="565">
        <v>0</v>
      </c>
      <c r="H58" s="1037"/>
      <c r="I58" s="593"/>
    </row>
    <row r="59" spans="1:9" s="559" customFormat="1" ht="30" customHeight="1">
      <c r="A59" s="558"/>
      <c r="B59" s="581" t="s">
        <v>685</v>
      </c>
      <c r="C59" s="564" t="s">
        <v>692</v>
      </c>
      <c r="D59" s="565">
        <v>0</v>
      </c>
      <c r="E59" s="565">
        <v>0</v>
      </c>
      <c r="F59" s="565">
        <v>0</v>
      </c>
      <c r="G59" s="565">
        <v>0</v>
      </c>
      <c r="H59" s="1037"/>
      <c r="I59" s="593"/>
    </row>
    <row r="60" spans="1:9" s="559" customFormat="1" ht="30" customHeight="1">
      <c r="A60" s="558"/>
      <c r="B60" s="550" t="s">
        <v>686</v>
      </c>
      <c r="C60" s="551" t="s">
        <v>692</v>
      </c>
      <c r="D60" s="552">
        <f>D38+D54+D58+D59</f>
        <v>7157.742506331615</v>
      </c>
      <c r="E60" s="552">
        <f>E38+E54+E58+E59</f>
        <v>4571.1104705766575</v>
      </c>
      <c r="F60" s="552">
        <f>F38+F54+F58+F59</f>
        <v>2401.4459084838168</v>
      </c>
      <c r="G60" s="552">
        <f>G38+G54+G58+G59</f>
        <v>185.18612727114009</v>
      </c>
      <c r="H60" s="1037"/>
      <c r="I60" s="593"/>
    </row>
    <row r="61" spans="1:9" s="578" customFormat="1" ht="30" customHeight="1">
      <c r="A61" s="577"/>
      <c r="B61" s="583" t="s">
        <v>696</v>
      </c>
      <c r="C61" s="584" t="s">
        <v>692</v>
      </c>
      <c r="D61" s="579">
        <v>0</v>
      </c>
      <c r="E61" s="579">
        <v>0</v>
      </c>
      <c r="F61" s="579">
        <v>0</v>
      </c>
      <c r="G61" s="579">
        <v>0</v>
      </c>
      <c r="H61" s="1038"/>
      <c r="I61" s="598"/>
    </row>
    <row r="62" spans="1:9" s="559" customFormat="1" ht="30" customHeight="1">
      <c r="A62" s="558"/>
      <c r="B62" s="599" t="s">
        <v>809</v>
      </c>
      <c r="C62" s="564" t="s">
        <v>692</v>
      </c>
      <c r="D62" s="565">
        <f>D60+D61</f>
        <v>7157.742506331615</v>
      </c>
      <c r="E62" s="565">
        <f>E60+E61</f>
        <v>4571.1104705766575</v>
      </c>
      <c r="F62" s="565">
        <f>F60+F61</f>
        <v>2401.4459084838168</v>
      </c>
      <c r="G62" s="565">
        <f>G60+G61</f>
        <v>185.18612727114009</v>
      </c>
      <c r="H62" s="1037"/>
      <c r="I62" s="593"/>
    </row>
    <row r="63" spans="1:9" s="559" customFormat="1" ht="30" customHeight="1">
      <c r="A63" s="558"/>
      <c r="B63" s="599" t="s">
        <v>689</v>
      </c>
      <c r="C63" s="564" t="s">
        <v>404</v>
      </c>
      <c r="D63" s="548">
        <f>D62/D64*1000</f>
        <v>597.37460410045196</v>
      </c>
      <c r="E63" s="548">
        <f>E62/E64*1000</f>
        <v>597.37460410045185</v>
      </c>
      <c r="F63" s="548">
        <f>F62/F64*1000</f>
        <v>597.37460410045196</v>
      </c>
      <c r="G63" s="548">
        <f>G62/G64*1000</f>
        <v>597.37460410045196</v>
      </c>
      <c r="H63" s="1037"/>
      <c r="I63" s="593"/>
    </row>
    <row r="64" spans="1:9" s="559" customFormat="1" ht="30" customHeight="1">
      <c r="A64" s="558"/>
      <c r="B64" s="583" t="s">
        <v>790</v>
      </c>
      <c r="C64" s="584" t="s">
        <v>710</v>
      </c>
      <c r="D64" s="587">
        <f>SUM(E64:G64)</f>
        <v>11982</v>
      </c>
      <c r="E64" s="548">
        <v>7652</v>
      </c>
      <c r="F64" s="548">
        <v>4020</v>
      </c>
      <c r="G64" s="548">
        <v>310</v>
      </c>
      <c r="H64" s="1037"/>
      <c r="I64" s="593"/>
    </row>
    <row r="65" spans="1:10" s="559" customFormat="1" ht="18" customHeight="1">
      <c r="A65" s="558"/>
      <c r="B65" s="600"/>
      <c r="C65" s="588"/>
      <c r="D65" s="544"/>
      <c r="E65" s="544"/>
      <c r="F65" s="544"/>
      <c r="G65" s="544"/>
      <c r="H65" s="1037"/>
      <c r="I65" s="593"/>
    </row>
    <row r="66" spans="1:10" s="633" customFormat="1" ht="49.5" customHeight="1">
      <c r="A66" s="628"/>
      <c r="B66" s="629" t="s">
        <v>368</v>
      </c>
      <c r="C66" s="630"/>
      <c r="D66" s="631"/>
      <c r="E66" s="631"/>
      <c r="F66" s="631" t="s">
        <v>370</v>
      </c>
      <c r="G66" s="631"/>
      <c r="H66" s="639"/>
      <c r="J66" s="634"/>
    </row>
    <row r="67" spans="1:10" s="559" customFormat="1" ht="42.75" customHeight="1">
      <c r="A67" s="558"/>
      <c r="B67" s="589"/>
      <c r="C67" s="589"/>
      <c r="D67" s="590"/>
      <c r="E67" s="591"/>
      <c r="F67" s="1473" t="s">
        <v>195</v>
      </c>
      <c r="G67" s="1473"/>
      <c r="H67" s="1037"/>
      <c r="I67" s="593"/>
    </row>
    <row r="68" spans="1:10" s="559" customFormat="1" ht="34.5" customHeight="1">
      <c r="A68" s="558"/>
      <c r="B68" s="1485" t="s">
        <v>1014</v>
      </c>
      <c r="C68" s="1485"/>
      <c r="D68" s="1485"/>
      <c r="E68" s="1485"/>
      <c r="F68" s="1485"/>
      <c r="G68" s="1485"/>
      <c r="H68" s="1037"/>
      <c r="I68" s="593"/>
    </row>
    <row r="69" spans="1:10" s="559" customFormat="1" ht="30" customHeight="1" thickBot="1">
      <c r="A69" s="558"/>
      <c r="B69" s="1001" t="s">
        <v>391</v>
      </c>
      <c r="C69" s="1002"/>
      <c r="D69" s="1003"/>
      <c r="E69" s="1043">
        <f>Паливо!C26</f>
        <v>0.63862460357202466</v>
      </c>
      <c r="F69" s="1043">
        <f>Паливо!D26</f>
        <v>0.33550325488232347</v>
      </c>
      <c r="G69" s="1043">
        <f>Паливо!E26</f>
        <v>2.587214154565181E-2</v>
      </c>
      <c r="H69" s="1037"/>
      <c r="I69" s="593"/>
    </row>
    <row r="70" spans="1:10" s="559" customFormat="1" ht="16.5" customHeight="1" thickBot="1">
      <c r="A70" s="558"/>
      <c r="B70" s="1483" t="s">
        <v>701</v>
      </c>
      <c r="C70" s="1481" t="s">
        <v>488</v>
      </c>
      <c r="D70" s="1479" t="s">
        <v>351</v>
      </c>
      <c r="E70" s="1476" t="s">
        <v>505</v>
      </c>
      <c r="F70" s="1477"/>
      <c r="G70" s="1478"/>
      <c r="H70" s="1037"/>
      <c r="I70" s="593"/>
    </row>
    <row r="71" spans="1:10" s="559" customFormat="1" ht="40.5" customHeight="1">
      <c r="A71" s="558"/>
      <c r="B71" s="1484"/>
      <c r="C71" s="1482"/>
      <c r="D71" s="1480"/>
      <c r="E71" s="560" t="s">
        <v>698</v>
      </c>
      <c r="F71" s="594" t="s">
        <v>495</v>
      </c>
      <c r="G71" s="562" t="s">
        <v>499</v>
      </c>
      <c r="H71" s="1037"/>
      <c r="I71" s="593"/>
    </row>
    <row r="72" spans="1:10" s="559" customFormat="1" ht="42.75" customHeight="1">
      <c r="A72" s="558"/>
      <c r="B72" s="550" t="s">
        <v>436</v>
      </c>
      <c r="C72" s="550" t="s">
        <v>692</v>
      </c>
      <c r="D72" s="552">
        <f>D73+D83</f>
        <v>869.23924791922536</v>
      </c>
      <c r="E72" s="552">
        <f>E73+E83</f>
        <v>555.11757011166014</v>
      </c>
      <c r="F72" s="552">
        <f>F73+F83</f>
        <v>291.63259694836302</v>
      </c>
      <c r="G72" s="552">
        <f>G73+G83</f>
        <v>22.489080859202126</v>
      </c>
      <c r="H72" s="1036"/>
      <c r="I72" s="593"/>
    </row>
    <row r="73" spans="1:10" s="559" customFormat="1" ht="30" customHeight="1">
      <c r="A73" s="558"/>
      <c r="B73" s="581" t="s">
        <v>396</v>
      </c>
      <c r="C73" s="564" t="s">
        <v>692</v>
      </c>
      <c r="D73" s="565">
        <f>SUM(D74:D79)</f>
        <v>699.41140684800018</v>
      </c>
      <c r="E73" s="565">
        <f>SUM(E74:E79)</f>
        <v>446.66133243205616</v>
      </c>
      <c r="F73" s="565">
        <f>SUM(F74:F79)</f>
        <v>234.65480349932903</v>
      </c>
      <c r="G73" s="565">
        <f>SUM(G74:G79)</f>
        <v>18.095270916614925</v>
      </c>
      <c r="H73" s="1036">
        <f>D7+D39+D73</f>
        <v>32760.694287499806</v>
      </c>
      <c r="I73" s="592">
        <f>H73-Прямі!C61-D49</f>
        <v>0</v>
      </c>
    </row>
    <row r="74" spans="1:10" s="559" customFormat="1" ht="30" customHeight="1">
      <c r="A74" s="558"/>
      <c r="B74" s="566" t="s">
        <v>787</v>
      </c>
      <c r="C74" s="567" t="s">
        <v>692</v>
      </c>
      <c r="D74" s="546">
        <f>Прямі!C46</f>
        <v>0</v>
      </c>
      <c r="E74" s="546">
        <f>Прямі!D46</f>
        <v>0</v>
      </c>
      <c r="F74" s="546">
        <f>Прямі!E46</f>
        <v>0</v>
      </c>
      <c r="G74" s="546">
        <f>Прямі!F46</f>
        <v>0</v>
      </c>
      <c r="H74" s="1036"/>
      <c r="I74" s="593"/>
    </row>
    <row r="75" spans="1:10" s="559" customFormat="1" ht="30" customHeight="1">
      <c r="A75" s="558"/>
      <c r="B75" s="566" t="s">
        <v>683</v>
      </c>
      <c r="C75" s="567" t="s">
        <v>692</v>
      </c>
      <c r="D75" s="546">
        <f>Прямі!C47</f>
        <v>0</v>
      </c>
      <c r="E75" s="546">
        <f>Прямі!D47</f>
        <v>0</v>
      </c>
      <c r="F75" s="546">
        <f>Прямі!E47</f>
        <v>0</v>
      </c>
      <c r="G75" s="546">
        <f>Прямі!F47</f>
        <v>0</v>
      </c>
      <c r="H75" s="1036"/>
      <c r="I75" s="593"/>
    </row>
    <row r="76" spans="1:10" s="559" customFormat="1" ht="30" customHeight="1">
      <c r="A76" s="558"/>
      <c r="B76" s="595" t="s">
        <v>785</v>
      </c>
      <c r="C76" s="567" t="s">
        <v>692</v>
      </c>
      <c r="D76" s="546">
        <f>Прямі!C48</f>
        <v>0</v>
      </c>
      <c r="E76" s="546">
        <f>Прямі!D48</f>
        <v>0</v>
      </c>
      <c r="F76" s="546">
        <f>Прямі!E48</f>
        <v>0</v>
      </c>
      <c r="G76" s="546">
        <f>Прямі!F48</f>
        <v>0</v>
      </c>
      <c r="H76" s="1036"/>
      <c r="I76" s="593"/>
    </row>
    <row r="77" spans="1:10" s="559" customFormat="1" ht="30" customHeight="1">
      <c r="A77" s="558"/>
      <c r="B77" s="595" t="s">
        <v>784</v>
      </c>
      <c r="C77" s="567" t="s">
        <v>692</v>
      </c>
      <c r="D77" s="546">
        <f>Прямі!C49</f>
        <v>0</v>
      </c>
      <c r="E77" s="546">
        <f>Прямі!D49</f>
        <v>0</v>
      </c>
      <c r="F77" s="546">
        <f>Прямі!E49</f>
        <v>0</v>
      </c>
      <c r="G77" s="546">
        <f>Прямі!F49</f>
        <v>0</v>
      </c>
      <c r="H77" s="1036"/>
      <c r="I77" s="593"/>
    </row>
    <row r="78" spans="1:10" s="559" customFormat="1" ht="30" customHeight="1">
      <c r="A78" s="558"/>
      <c r="B78" s="596" t="s">
        <v>700</v>
      </c>
      <c r="C78" s="567" t="s">
        <v>692</v>
      </c>
      <c r="D78" s="546">
        <f>Прямі!C50</f>
        <v>573.28803840000012</v>
      </c>
      <c r="E78" s="546">
        <f>Прямі!D50</f>
        <v>366.11584625578371</v>
      </c>
      <c r="F78" s="546">
        <f>Прямі!E50</f>
        <v>192.34000286830249</v>
      </c>
      <c r="G78" s="546">
        <f>Прямі!F50</f>
        <v>14.832189275913873</v>
      </c>
      <c r="H78" s="1036"/>
      <c r="I78" s="593"/>
    </row>
    <row r="79" spans="1:10" s="559" customFormat="1" ht="30" customHeight="1">
      <c r="A79" s="558"/>
      <c r="B79" s="596" t="s">
        <v>493</v>
      </c>
      <c r="C79" s="567" t="s">
        <v>692</v>
      </c>
      <c r="D79" s="546">
        <f>Прямі!C51</f>
        <v>126.12336844800002</v>
      </c>
      <c r="E79" s="546">
        <f>Прямі!D51</f>
        <v>80.545486176272419</v>
      </c>
      <c r="F79" s="546">
        <f>Прямі!E51</f>
        <v>42.314800631026543</v>
      </c>
      <c r="G79" s="546">
        <f>Прямі!F51</f>
        <v>3.2630816407010519</v>
      </c>
      <c r="H79" s="1036"/>
      <c r="I79" s="593"/>
    </row>
    <row r="80" spans="1:10" s="559" customFormat="1" ht="30" customHeight="1">
      <c r="A80" s="558"/>
      <c r="B80" s="597" t="s">
        <v>765</v>
      </c>
      <c r="C80" s="567" t="s">
        <v>692</v>
      </c>
      <c r="D80" s="546">
        <f>Прямі!C52</f>
        <v>126.12336844800002</v>
      </c>
      <c r="E80" s="546">
        <f>Прямі!D52</f>
        <v>80.545486176272419</v>
      </c>
      <c r="F80" s="546">
        <f>Прямі!E52</f>
        <v>42.314800631026543</v>
      </c>
      <c r="G80" s="546">
        <f>Прямі!F52</f>
        <v>3.2630816407010519</v>
      </c>
      <c r="H80" s="1036"/>
      <c r="I80" s="593"/>
    </row>
    <row r="81" spans="1:9" s="559" customFormat="1" ht="30" customHeight="1">
      <c r="A81" s="558"/>
      <c r="B81" s="597" t="s">
        <v>389</v>
      </c>
      <c r="C81" s="567" t="s">
        <v>692</v>
      </c>
      <c r="D81" s="546">
        <f>Прямі!C53</f>
        <v>0</v>
      </c>
      <c r="E81" s="546">
        <f>Прямі!D53</f>
        <v>0</v>
      </c>
      <c r="F81" s="546">
        <f>Прямі!E53</f>
        <v>0</v>
      </c>
      <c r="G81" s="546">
        <f>Прямі!F53</f>
        <v>0</v>
      </c>
      <c r="H81" s="1036"/>
      <c r="I81" s="593"/>
    </row>
    <row r="82" spans="1:9" s="559" customFormat="1" ht="30" customHeight="1">
      <c r="A82" s="558"/>
      <c r="B82" s="597" t="s">
        <v>493</v>
      </c>
      <c r="C82" s="567" t="s">
        <v>692</v>
      </c>
      <c r="D82" s="546">
        <f>Прямі!C54</f>
        <v>0</v>
      </c>
      <c r="E82" s="546">
        <f>D82*E69</f>
        <v>0</v>
      </c>
      <c r="F82" s="546">
        <f>D82*F69</f>
        <v>0</v>
      </c>
      <c r="G82" s="546">
        <f>D82*G69</f>
        <v>0</v>
      </c>
      <c r="H82" s="1036"/>
      <c r="I82" s="593"/>
    </row>
    <row r="83" spans="1:9" s="559" customFormat="1" ht="30" customHeight="1">
      <c r="A83" s="558"/>
      <c r="B83" s="581" t="s">
        <v>697</v>
      </c>
      <c r="C83" s="564" t="s">
        <v>692</v>
      </c>
      <c r="D83" s="565">
        <f>З_вироб!F8</f>
        <v>169.82784107122521</v>
      </c>
      <c r="E83" s="565">
        <f t="shared" ref="E83:G90" si="4">$D83*E$3</f>
        <v>108.456237679604</v>
      </c>
      <c r="F83" s="565">
        <f t="shared" si="4"/>
        <v>56.977793449033989</v>
      </c>
      <c r="G83" s="565">
        <f t="shared" si="4"/>
        <v>4.3938099425871986</v>
      </c>
      <c r="H83" s="1036">
        <f>D17+D50+D83</f>
        <v>1480.012568053957</v>
      </c>
      <c r="I83" s="592">
        <f>H83-З_вироб!C8</f>
        <v>0</v>
      </c>
    </row>
    <row r="84" spans="1:9" s="559" customFormat="1" ht="30" customHeight="1">
      <c r="A84" s="558"/>
      <c r="B84" s="597" t="s">
        <v>766</v>
      </c>
      <c r="C84" s="567" t="s">
        <v>723</v>
      </c>
      <c r="D84" s="546">
        <f>З_вироб!F9</f>
        <v>134.81879596588698</v>
      </c>
      <c r="E84" s="546">
        <f>$D84*E$3</f>
        <v>86.098600127772244</v>
      </c>
      <c r="F84" s="546">
        <f t="shared" si="4"/>
        <v>45.232144865870943</v>
      </c>
      <c r="G84" s="546">
        <f t="shared" si="4"/>
        <v>3.4880509722437791</v>
      </c>
      <c r="H84" s="1036"/>
      <c r="I84" s="593"/>
    </row>
    <row r="85" spans="1:9" s="559" customFormat="1" ht="30" customHeight="1">
      <c r="A85" s="558"/>
      <c r="B85" s="597" t="s">
        <v>765</v>
      </c>
      <c r="C85" s="567" t="s">
        <v>723</v>
      </c>
      <c r="D85" s="546">
        <f>З_вироб!F10</f>
        <v>29.660135112495134</v>
      </c>
      <c r="E85" s="546">
        <f>$D85*E$3</f>
        <v>18.941692028109895</v>
      </c>
      <c r="F85" s="546">
        <f t="shared" si="4"/>
        <v>9.9510718704916066</v>
      </c>
      <c r="G85" s="546">
        <f t="shared" si="4"/>
        <v>0.76737121389363139</v>
      </c>
      <c r="H85" s="1036"/>
      <c r="I85" s="593"/>
    </row>
    <row r="86" spans="1:9" s="559" customFormat="1" ht="30" customHeight="1">
      <c r="A86" s="558"/>
      <c r="B86" s="597" t="s">
        <v>767</v>
      </c>
      <c r="C86" s="567" t="s">
        <v>723</v>
      </c>
      <c r="D86" s="546">
        <f>З_вироб!F11</f>
        <v>5.3489099928430797</v>
      </c>
      <c r="E86" s="546">
        <f>$D86*E$3</f>
        <v>3.4159455237218532</v>
      </c>
      <c r="F86" s="546">
        <f t="shared" si="4"/>
        <v>1.7945767126714387</v>
      </c>
      <c r="G86" s="546">
        <f t="shared" si="4"/>
        <v>0.13838775644978757</v>
      </c>
      <c r="H86" s="1036"/>
      <c r="I86" s="593"/>
    </row>
    <row r="87" spans="1:9" s="559" customFormat="1" ht="30" customHeight="1">
      <c r="A87" s="558"/>
      <c r="B87" s="581" t="s">
        <v>695</v>
      </c>
      <c r="C87" s="564" t="s">
        <v>692</v>
      </c>
      <c r="D87" s="565">
        <f>Адмін!G8</f>
        <v>162.38917259965947</v>
      </c>
      <c r="E87" s="565">
        <f t="shared" si="4"/>
        <v>103.70572097584662</v>
      </c>
      <c r="F87" s="565">
        <f t="shared" si="4"/>
        <v>54.482095964833171</v>
      </c>
      <c r="G87" s="565">
        <f t="shared" si="4"/>
        <v>4.2013556589796721</v>
      </c>
      <c r="H87" s="1036">
        <f>D21+D54+D87</f>
        <v>1561.1907063133137</v>
      </c>
      <c r="I87" s="592">
        <f>H87-Адмін!D8</f>
        <v>0</v>
      </c>
    </row>
    <row r="88" spans="1:9" s="559" customFormat="1" ht="30" customHeight="1">
      <c r="A88" s="558"/>
      <c r="B88" s="597" t="s">
        <v>766</v>
      </c>
      <c r="C88" s="567" t="s">
        <v>723</v>
      </c>
      <c r="D88" s="546">
        <f>Адмін!G9</f>
        <v>153.08879231093621</v>
      </c>
      <c r="E88" s="546">
        <f>$D88*E$3</f>
        <v>97.766269300891651</v>
      </c>
      <c r="F88" s="546">
        <f t="shared" si="4"/>
        <v>51.361788106323111</v>
      </c>
      <c r="G88" s="546">
        <f t="shared" si="4"/>
        <v>3.9607349037214341</v>
      </c>
      <c r="H88" s="1036"/>
      <c r="I88" s="593"/>
    </row>
    <row r="89" spans="1:9" s="559" customFormat="1" ht="30" customHeight="1">
      <c r="A89" s="558"/>
      <c r="B89" s="597" t="s">
        <v>765</v>
      </c>
      <c r="C89" s="567" t="s">
        <v>723</v>
      </c>
      <c r="D89" s="546">
        <f>Адмін!G10</f>
        <v>4.4626436376719463</v>
      </c>
      <c r="E89" s="546">
        <f>$D89*E$3</f>
        <v>2.8499540239914647</v>
      </c>
      <c r="F89" s="546">
        <f t="shared" si="4"/>
        <v>1.4972314658188302</v>
      </c>
      <c r="G89" s="546">
        <f t="shared" si="4"/>
        <v>0.11545814786165108</v>
      </c>
      <c r="H89" s="1036"/>
      <c r="I89" s="593"/>
    </row>
    <row r="90" spans="1:9" s="559" customFormat="1" ht="30" customHeight="1">
      <c r="A90" s="558"/>
      <c r="B90" s="597" t="s">
        <v>767</v>
      </c>
      <c r="C90" s="567" t="s">
        <v>723</v>
      </c>
      <c r="D90" s="546">
        <f>Адмін!G11</f>
        <v>4.8377366510512916</v>
      </c>
      <c r="E90" s="546">
        <f>$D90*E$3</f>
        <v>3.0894976509634855</v>
      </c>
      <c r="F90" s="546">
        <f t="shared" si="4"/>
        <v>1.6230763926912195</v>
      </c>
      <c r="G90" s="546">
        <f t="shared" si="4"/>
        <v>0.12516260739658658</v>
      </c>
      <c r="H90" s="1036"/>
      <c r="I90" s="593"/>
    </row>
    <row r="91" spans="1:9" s="559" customFormat="1" ht="30" customHeight="1">
      <c r="A91" s="558"/>
      <c r="B91" s="581" t="s">
        <v>684</v>
      </c>
      <c r="C91" s="564" t="s">
        <v>692</v>
      </c>
      <c r="D91" s="565">
        <v>0</v>
      </c>
      <c r="E91" s="565">
        <v>0</v>
      </c>
      <c r="F91" s="565">
        <v>0</v>
      </c>
      <c r="G91" s="565">
        <v>0</v>
      </c>
      <c r="H91" s="1036"/>
      <c r="I91" s="593"/>
    </row>
    <row r="92" spans="1:9" s="559" customFormat="1" ht="30" customHeight="1">
      <c r="A92" s="558"/>
      <c r="B92" s="581" t="s">
        <v>685</v>
      </c>
      <c r="C92" s="564" t="s">
        <v>692</v>
      </c>
      <c r="D92" s="565">
        <v>0</v>
      </c>
      <c r="E92" s="565">
        <v>0</v>
      </c>
      <c r="F92" s="565">
        <v>0</v>
      </c>
      <c r="G92" s="565">
        <v>0</v>
      </c>
      <c r="H92" s="1036"/>
      <c r="I92" s="593"/>
    </row>
    <row r="93" spans="1:9" s="559" customFormat="1" ht="30" customHeight="1">
      <c r="A93" s="558"/>
      <c r="B93" s="550" t="s">
        <v>686</v>
      </c>
      <c r="C93" s="550" t="s">
        <v>692</v>
      </c>
      <c r="D93" s="552">
        <f>D72+D87+D91+D92</f>
        <v>1031.6284205188849</v>
      </c>
      <c r="E93" s="552">
        <f>E72+E87+E91+E92</f>
        <v>658.82329108750673</v>
      </c>
      <c r="F93" s="552">
        <f>F72+F87+F91+F92</f>
        <v>346.11469291319617</v>
      </c>
      <c r="G93" s="552">
        <f>G72+G87+G91+G92</f>
        <v>26.690436518181798</v>
      </c>
      <c r="H93" s="1036"/>
      <c r="I93" s="593"/>
    </row>
    <row r="94" spans="1:9" s="578" customFormat="1" ht="30" customHeight="1">
      <c r="A94" s="577"/>
      <c r="B94" s="583" t="s">
        <v>696</v>
      </c>
      <c r="C94" s="584" t="s">
        <v>692</v>
      </c>
      <c r="D94" s="579">
        <v>0</v>
      </c>
      <c r="E94" s="579">
        <v>0</v>
      </c>
      <c r="F94" s="579">
        <v>0</v>
      </c>
      <c r="G94" s="579">
        <v>0</v>
      </c>
      <c r="H94" s="1035"/>
      <c r="I94" s="598"/>
    </row>
    <row r="95" spans="1:9" s="559" customFormat="1" ht="30" customHeight="1">
      <c r="A95" s="558"/>
      <c r="B95" s="599" t="s">
        <v>810</v>
      </c>
      <c r="C95" s="564" t="s">
        <v>692</v>
      </c>
      <c r="D95" s="565">
        <f>D93+D94</f>
        <v>1031.6284205188849</v>
      </c>
      <c r="E95" s="565">
        <f>E93+E94</f>
        <v>658.82329108750673</v>
      </c>
      <c r="F95" s="565">
        <f>F93+F94</f>
        <v>346.11469291319617</v>
      </c>
      <c r="G95" s="565">
        <f>G93+G94</f>
        <v>26.690436518181798</v>
      </c>
      <c r="H95" s="1036"/>
      <c r="I95" s="593"/>
    </row>
    <row r="96" spans="1:9" s="559" customFormat="1" ht="30" customHeight="1">
      <c r="A96" s="558"/>
      <c r="B96" s="599" t="s">
        <v>689</v>
      </c>
      <c r="C96" s="564" t="s">
        <v>404</v>
      </c>
      <c r="D96" s="548">
        <f>D95/D97*1000</f>
        <v>86.09818231671548</v>
      </c>
      <c r="E96" s="548">
        <f>E95/E97*1000</f>
        <v>86.098182316715466</v>
      </c>
      <c r="F96" s="548">
        <f>F95/F97*1000</f>
        <v>86.098182316715466</v>
      </c>
      <c r="G96" s="548">
        <f>G95/G97*1000</f>
        <v>86.09818231671548</v>
      </c>
      <c r="H96" s="1039"/>
      <c r="I96" s="593"/>
    </row>
    <row r="97" spans="1:10" s="559" customFormat="1" ht="30" customHeight="1">
      <c r="A97" s="558"/>
      <c r="B97" s="583" t="s">
        <v>790</v>
      </c>
      <c r="C97" s="584" t="s">
        <v>710</v>
      </c>
      <c r="D97" s="587">
        <f>SUM(E97:G97)</f>
        <v>11982</v>
      </c>
      <c r="E97" s="548">
        <v>7652</v>
      </c>
      <c r="F97" s="548">
        <v>4020</v>
      </c>
      <c r="G97" s="548">
        <v>310</v>
      </c>
      <c r="H97" s="1039"/>
      <c r="I97" s="593"/>
    </row>
    <row r="98" spans="1:10" s="559" customFormat="1" ht="17.25" customHeight="1">
      <c r="A98" s="558"/>
      <c r="B98" s="600"/>
      <c r="C98" s="588"/>
      <c r="D98" s="544"/>
      <c r="E98" s="544"/>
      <c r="F98" s="544"/>
      <c r="G98" s="544"/>
      <c r="H98" s="1039"/>
      <c r="I98" s="593"/>
    </row>
    <row r="99" spans="1:10" s="633" customFormat="1" ht="36.75" customHeight="1">
      <c r="A99" s="628"/>
      <c r="B99" s="629" t="s">
        <v>368</v>
      </c>
      <c r="C99" s="630"/>
      <c r="D99" s="631"/>
      <c r="E99" s="631"/>
      <c r="F99" s="631" t="s">
        <v>369</v>
      </c>
      <c r="G99" s="631"/>
      <c r="H99" s="639"/>
      <c r="J99" s="634"/>
    </row>
    <row r="100" spans="1:10" s="559" customFormat="1" ht="42.75" customHeight="1">
      <c r="A100" s="558"/>
      <c r="B100" s="592"/>
      <c r="C100" s="593"/>
      <c r="H100" s="640"/>
    </row>
    <row r="101" spans="1:10" s="559" customFormat="1" ht="26.25" customHeight="1">
      <c r="A101" s="558"/>
      <c r="B101" s="593"/>
      <c r="C101" s="593"/>
      <c r="H101" s="640"/>
    </row>
    <row r="102" spans="1:10" s="559" customFormat="1" ht="16.5" customHeight="1">
      <c r="A102" s="558"/>
      <c r="B102" s="593"/>
      <c r="C102" s="593"/>
      <c r="H102" s="640"/>
    </row>
    <row r="103" spans="1:10" s="559" customFormat="1" ht="16.5" customHeight="1">
      <c r="A103" s="558"/>
      <c r="B103" s="593"/>
      <c r="C103" s="593"/>
      <c r="H103" s="640"/>
    </row>
    <row r="104" spans="1:10" s="559" customFormat="1" ht="42" customHeight="1">
      <c r="A104" s="558"/>
      <c r="B104" s="593"/>
      <c r="C104" s="593"/>
      <c r="H104" s="640"/>
    </row>
    <row r="105" spans="1:10" s="559" customFormat="1" ht="39.75" customHeight="1">
      <c r="A105" s="558"/>
      <c r="B105" s="586"/>
      <c r="C105" s="593"/>
      <c r="H105" s="640"/>
    </row>
    <row r="106" spans="1:10" s="559" customFormat="1" ht="30" customHeight="1">
      <c r="A106" s="558"/>
      <c r="B106" s="586"/>
      <c r="C106" s="602"/>
      <c r="H106" s="640"/>
    </row>
    <row r="107" spans="1:10" s="559" customFormat="1" ht="30" customHeight="1">
      <c r="A107" s="558"/>
      <c r="B107" s="586"/>
      <c r="C107" s="593"/>
      <c r="H107" s="640"/>
    </row>
    <row r="108" spans="1:10" s="559" customFormat="1" ht="30" customHeight="1">
      <c r="A108" s="558"/>
      <c r="B108" s="586"/>
      <c r="C108" s="593"/>
      <c r="H108" s="640"/>
    </row>
    <row r="109" spans="1:10" s="559" customFormat="1" ht="30" customHeight="1">
      <c r="A109" s="558"/>
      <c r="B109" s="586"/>
      <c r="C109" s="593"/>
      <c r="H109" s="640"/>
    </row>
    <row r="110" spans="1:10" s="559" customFormat="1" ht="30" customHeight="1">
      <c r="A110" s="558"/>
      <c r="B110" s="586"/>
      <c r="C110" s="593"/>
      <c r="H110" s="640"/>
    </row>
    <row r="111" spans="1:10" s="559" customFormat="1" ht="30" customHeight="1">
      <c r="A111" s="558"/>
      <c r="B111" s="586"/>
      <c r="C111" s="593"/>
      <c r="H111" s="640"/>
    </row>
    <row r="112" spans="1:10" s="559" customFormat="1" ht="30" customHeight="1">
      <c r="A112" s="558"/>
      <c r="B112" s="586"/>
      <c r="C112" s="593"/>
      <c r="H112" s="640"/>
    </row>
    <row r="113" spans="1:8" s="559" customFormat="1" ht="30" customHeight="1">
      <c r="A113" s="558"/>
      <c r="B113" s="586"/>
      <c r="C113" s="593"/>
      <c r="H113" s="640"/>
    </row>
    <row r="114" spans="1:8" s="559" customFormat="1" ht="30" customHeight="1">
      <c r="A114" s="558"/>
      <c r="B114" s="586"/>
      <c r="C114" s="593"/>
      <c r="H114" s="640"/>
    </row>
    <row r="115" spans="1:8" s="559" customFormat="1" ht="30" customHeight="1">
      <c r="A115" s="558"/>
      <c r="B115" s="586"/>
      <c r="C115" s="593"/>
      <c r="H115" s="640"/>
    </row>
    <row r="116" spans="1:8" s="559" customFormat="1" ht="30" customHeight="1">
      <c r="A116" s="558"/>
      <c r="B116" s="586"/>
      <c r="C116" s="603"/>
      <c r="H116" s="640"/>
    </row>
    <row r="117" spans="1:8" s="559" customFormat="1" ht="30" customHeight="1">
      <c r="A117" s="558"/>
      <c r="B117" s="586"/>
      <c r="C117" s="603"/>
      <c r="H117" s="640"/>
    </row>
    <row r="118" spans="1:8" s="559" customFormat="1" ht="30" customHeight="1">
      <c r="A118" s="558"/>
      <c r="B118" s="586"/>
      <c r="C118" s="603"/>
      <c r="H118" s="640"/>
    </row>
    <row r="119" spans="1:8" s="559" customFormat="1" ht="30" customHeight="1">
      <c r="A119" s="558"/>
      <c r="B119" s="586"/>
      <c r="C119" s="603"/>
      <c r="H119" s="640"/>
    </row>
    <row r="120" spans="1:8" s="559" customFormat="1" ht="30" customHeight="1">
      <c r="A120" s="558"/>
      <c r="B120" s="586"/>
      <c r="C120" s="603"/>
      <c r="H120" s="640"/>
    </row>
    <row r="121" spans="1:8" s="559" customFormat="1" ht="30" customHeight="1">
      <c r="A121" s="558"/>
      <c r="B121" s="586"/>
      <c r="C121" s="603"/>
      <c r="H121" s="640"/>
    </row>
    <row r="122" spans="1:8" s="559" customFormat="1" ht="30" customHeight="1">
      <c r="A122" s="558"/>
      <c r="B122" s="586"/>
      <c r="C122" s="603"/>
      <c r="H122" s="640"/>
    </row>
    <row r="123" spans="1:8" s="559" customFormat="1" ht="30" customHeight="1">
      <c r="A123" s="558"/>
      <c r="B123" s="586"/>
      <c r="C123" s="603"/>
      <c r="H123" s="640"/>
    </row>
    <row r="124" spans="1:8" s="559" customFormat="1" ht="30" customHeight="1">
      <c r="A124" s="558"/>
      <c r="B124" s="586"/>
      <c r="C124" s="593"/>
      <c r="H124" s="640"/>
    </row>
    <row r="125" spans="1:8" s="559" customFormat="1" ht="30" customHeight="1">
      <c r="A125" s="558"/>
      <c r="B125" s="586"/>
      <c r="C125" s="593"/>
      <c r="H125" s="640"/>
    </row>
    <row r="126" spans="1:8" s="559" customFormat="1" ht="30" customHeight="1">
      <c r="A126" s="558"/>
      <c r="B126" s="586"/>
      <c r="C126" s="593"/>
      <c r="H126" s="640"/>
    </row>
    <row r="127" spans="1:8" s="559" customFormat="1" ht="30" customHeight="1">
      <c r="A127" s="558"/>
      <c r="B127" s="605"/>
      <c r="C127" s="593"/>
      <c r="H127" s="640"/>
    </row>
    <row r="128" spans="1:8" s="559" customFormat="1" ht="30" customHeight="1">
      <c r="A128" s="558"/>
      <c r="B128" s="605"/>
      <c r="C128" s="593"/>
      <c r="H128" s="640"/>
    </row>
    <row r="129" spans="1:8" s="559" customFormat="1" ht="30" customHeight="1">
      <c r="A129" s="558"/>
      <c r="B129" s="593"/>
      <c r="C129" s="593"/>
      <c r="H129" s="640"/>
    </row>
    <row r="130" spans="1:8" s="559" customFormat="1" ht="30" customHeight="1">
      <c r="A130" s="558"/>
      <c r="B130" s="593"/>
      <c r="C130" s="593"/>
      <c r="H130" s="640"/>
    </row>
    <row r="131" spans="1:8" s="559" customFormat="1" ht="16.5" customHeight="1">
      <c r="A131" s="558"/>
      <c r="B131" s="593"/>
      <c r="C131" s="593"/>
      <c r="H131" s="640"/>
    </row>
    <row r="132" spans="1:8" s="633" customFormat="1" ht="34.5" customHeight="1">
      <c r="A132" s="628"/>
      <c r="B132" s="632"/>
      <c r="D132" s="634"/>
      <c r="H132" s="640"/>
    </row>
    <row r="133" spans="1:8" s="559" customFormat="1" ht="45.75" customHeight="1">
      <c r="A133" s="558"/>
      <c r="B133" s="593"/>
      <c r="C133" s="593"/>
      <c r="H133" s="640"/>
    </row>
    <row r="134" spans="1:8" s="559" customFormat="1" ht="30" customHeight="1">
      <c r="A134" s="558"/>
      <c r="B134" s="593"/>
      <c r="C134" s="593"/>
      <c r="H134" s="640"/>
    </row>
    <row r="135" spans="1:8" s="559" customFormat="1" ht="16.5" customHeight="1">
      <c r="A135" s="558"/>
      <c r="B135" s="593"/>
      <c r="C135" s="593"/>
      <c r="H135" s="640"/>
    </row>
    <row r="136" spans="1:8" s="559" customFormat="1" ht="30" customHeight="1">
      <c r="A136" s="558"/>
      <c r="B136" s="592"/>
      <c r="C136" s="593"/>
      <c r="H136" s="640"/>
    </row>
    <row r="137" spans="1:8" s="559" customFormat="1" ht="77.25" customHeight="1">
      <c r="A137" s="558"/>
      <c r="B137" s="593"/>
      <c r="C137" s="593"/>
      <c r="H137" s="640"/>
    </row>
    <row r="138" spans="1:8" s="559" customFormat="1" ht="39.950000000000003" customHeight="1">
      <c r="A138" s="606"/>
      <c r="B138" s="607"/>
      <c r="H138" s="640"/>
    </row>
    <row r="139" spans="1:8" ht="39.950000000000003" customHeight="1">
      <c r="A139" s="345"/>
      <c r="B139" s="80"/>
    </row>
    <row r="140" spans="1:8" ht="39.950000000000003" customHeight="1">
      <c r="A140" s="345"/>
      <c r="B140" s="80"/>
    </row>
    <row r="141" spans="1:8" ht="39.950000000000003" customHeight="1">
      <c r="A141" s="345"/>
    </row>
    <row r="142" spans="1:8" ht="39.950000000000003" customHeight="1">
      <c r="A142" s="345"/>
    </row>
    <row r="143" spans="1:8" ht="39.950000000000003" customHeight="1"/>
    <row r="144" spans="1:8" ht="16.5" customHeight="1"/>
    <row r="145" spans="1:8" ht="16.5" customHeight="1"/>
    <row r="146" spans="1:8" s="633" customFormat="1" ht="59.25" customHeight="1">
      <c r="A146" s="628"/>
      <c r="B146" s="632"/>
      <c r="D146" s="634"/>
      <c r="H146" s="640"/>
    </row>
    <row r="149" spans="1:8">
      <c r="B149" s="14"/>
      <c r="C149" s="14"/>
      <c r="D149" s="14"/>
      <c r="E149" s="90"/>
      <c r="F149" s="14"/>
      <c r="G149" s="14"/>
    </row>
    <row r="150" spans="1:8">
      <c r="C150" s="67"/>
      <c r="D150" s="67"/>
      <c r="E150" s="67"/>
      <c r="F150" s="67"/>
      <c r="G150" s="67"/>
    </row>
    <row r="151" spans="1:8">
      <c r="B151" s="14"/>
      <c r="C151" s="14"/>
      <c r="D151" s="91"/>
      <c r="E151" s="14"/>
      <c r="F151" s="14"/>
      <c r="G151" s="14"/>
    </row>
    <row r="152" spans="1:8">
      <c r="D152" s="15"/>
    </row>
    <row r="153" spans="1:8">
      <c r="D153" s="4"/>
    </row>
    <row r="154" spans="1:8">
      <c r="D154" s="4"/>
    </row>
    <row r="155" spans="1:8">
      <c r="D155" s="15"/>
    </row>
    <row r="156" spans="1:8">
      <c r="D156" s="4"/>
    </row>
    <row r="157" spans="1:8">
      <c r="D157" s="15"/>
    </row>
    <row r="158" spans="1:8">
      <c r="D158" s="15"/>
    </row>
  </sheetData>
  <mergeCells count="18">
    <mergeCell ref="B2:G2"/>
    <mergeCell ref="E4:G4"/>
    <mergeCell ref="B4:B5"/>
    <mergeCell ref="C4:C5"/>
    <mergeCell ref="D4:D5"/>
    <mergeCell ref="B68:G68"/>
    <mergeCell ref="E70:G70"/>
    <mergeCell ref="D70:D71"/>
    <mergeCell ref="B70:B71"/>
    <mergeCell ref="C70:C71"/>
    <mergeCell ref="F33:G33"/>
    <mergeCell ref="F67:G67"/>
    <mergeCell ref="B34:G34"/>
    <mergeCell ref="F32:G32"/>
    <mergeCell ref="E36:G36"/>
    <mergeCell ref="D36:D37"/>
    <mergeCell ref="C36:C37"/>
    <mergeCell ref="B36:B37"/>
  </mergeCells>
  <phoneticPr fontId="0" type="noConversion"/>
  <conditionalFormatting sqref="E71:G71 E37:G37">
    <cfRule type="expression" dxfId="16" priority="1" stopIfTrue="1">
      <formula>ABS($E37-($F37+$G37+$H37+$H37))&gt;отклонение</formula>
    </cfRule>
  </conditionalFormatting>
  <conditionalFormatting sqref="E5:G5">
    <cfRule type="expression" dxfId="15" priority="8" stopIfTrue="1">
      <formula>ABS($E5-($F5+$G5+#REF!+#REF!))&gt;отклонение</formula>
    </cfRule>
  </conditionalFormatting>
  <pageMargins left="1.01" right="0.39370078740157483" top="0.66" bottom="0.39370078740157483" header="0.27559055118110237" footer="0.31496062992125984"/>
  <pageSetup paperSize="9" scale="60" fitToHeight="3" orientation="portrait" horizontalDpi="300" verticalDpi="300" r:id="rId1"/>
  <headerFooter alignWithMargins="0"/>
  <rowBreaks count="2" manualBreakCount="2">
    <brk id="32" min="1" max="6" man="1"/>
    <brk id="66" min="1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F11"/>
  <sheetViews>
    <sheetView workbookViewId="0">
      <selection activeCell="C11" sqref="C11:D11"/>
    </sheetView>
  </sheetViews>
  <sheetFormatPr defaultRowHeight="12.75"/>
  <cols>
    <col min="1" max="1" width="34.42578125" customWidth="1"/>
    <col min="2" max="2" width="20.5703125" customWidth="1"/>
    <col min="3" max="3" width="18.28515625" customWidth="1"/>
    <col min="4" max="4" width="19.5703125" customWidth="1"/>
  </cols>
  <sheetData>
    <row r="1" spans="1:6" ht="40.5" customHeight="1">
      <c r="D1" s="1414" t="s">
        <v>196</v>
      </c>
    </row>
    <row r="2" spans="1:6" ht="66" customHeight="1">
      <c r="A2" s="1486" t="s">
        <v>28</v>
      </c>
      <c r="B2" s="1486"/>
      <c r="C2" s="1486"/>
      <c r="D2" s="1486"/>
    </row>
    <row r="4" spans="1:6" ht="111.75" customHeight="1">
      <c r="A4" s="1044" t="s">
        <v>5</v>
      </c>
      <c r="B4" s="1045" t="s">
        <v>6</v>
      </c>
      <c r="C4" s="1046" t="s">
        <v>7</v>
      </c>
      <c r="D4" s="897" t="s">
        <v>8</v>
      </c>
    </row>
    <row r="5" spans="1:6" ht="30" customHeight="1">
      <c r="A5" s="1047" t="s">
        <v>611</v>
      </c>
      <c r="B5" s="1382">
        <f>Паливо!C28</f>
        <v>945.80303789016853</v>
      </c>
      <c r="C5" s="1048">
        <f>'Повна собів'!$E$29</f>
        <v>1669.9824915870818</v>
      </c>
      <c r="D5" s="1049">
        <f>B5*C5/1000</f>
        <v>1579.4745137664547</v>
      </c>
      <c r="F5">
        <f>B5/B8</f>
        <v>0.63862460357202477</v>
      </c>
    </row>
    <row r="6" spans="1:6" ht="30" customHeight="1">
      <c r="A6" s="1047" t="s">
        <v>402</v>
      </c>
      <c r="B6" s="1382">
        <f>Паливо!D28</f>
        <v>496.88032048072102</v>
      </c>
      <c r="C6" s="1048">
        <f>'Повна собів'!$F$29</f>
        <v>2724.3185011522996</v>
      </c>
      <c r="D6" s="1049">
        <f>B6*C6/1000</f>
        <v>1353.6602499441124</v>
      </c>
      <c r="F6">
        <f>B6/B8</f>
        <v>0.33550325488232352</v>
      </c>
    </row>
    <row r="7" spans="1:6" ht="30" customHeight="1">
      <c r="A7" s="1047" t="s">
        <v>403</v>
      </c>
      <c r="B7" s="1382">
        <f>Паливо!E28</f>
        <v>38.316641629110329</v>
      </c>
      <c r="C7" s="1048">
        <f>'Повна собів'!$G$29</f>
        <v>2724.3185011522992</v>
      </c>
      <c r="D7" s="1049">
        <f>B7*C7/1000</f>
        <v>104.38673569220764</v>
      </c>
      <c r="F7">
        <f>B7/B8</f>
        <v>2.5872141545651813E-2</v>
      </c>
    </row>
    <row r="8" spans="1:6" ht="30" customHeight="1">
      <c r="A8" s="1050" t="s">
        <v>9</v>
      </c>
      <c r="B8" s="1382">
        <f>SUM(B5:B7)</f>
        <v>1480.9999999999998</v>
      </c>
      <c r="C8" s="1048">
        <f>'Повна собів'!$D$29</f>
        <v>2050.9935850120019</v>
      </c>
      <c r="D8" s="1049">
        <f>SUM(D5:D7)</f>
        <v>3037.5214994027751</v>
      </c>
    </row>
    <row r="11" spans="1:6" s="84" customFormat="1" ht="61.5" customHeight="1">
      <c r="A11" s="1051" t="s">
        <v>368</v>
      </c>
      <c r="C11" s="1487" t="s">
        <v>370</v>
      </c>
      <c r="D11" s="1487"/>
    </row>
  </sheetData>
  <mergeCells count="2">
    <mergeCell ref="A2:D2"/>
    <mergeCell ref="C11:D11"/>
  </mergeCells>
  <phoneticPr fontId="5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30</vt:i4>
      </vt:variant>
      <vt:variant>
        <vt:lpstr>Именованные диапазоны</vt:lpstr>
      </vt:variant>
      <vt:variant>
        <vt:i4>26</vt:i4>
      </vt:variant>
    </vt:vector>
  </HeadingPairs>
  <TitlesOfParts>
    <vt:vector size="56" baseType="lpstr">
      <vt:lpstr>Тариф двостав ТЕ Дод.1</vt:lpstr>
      <vt:lpstr>дод.2тариф ТЕ</vt:lpstr>
      <vt:lpstr>Розрахунок прибутку</vt:lpstr>
      <vt:lpstr>розр. пост. дод.5</vt:lpstr>
      <vt:lpstr>розр. транспорт. дод4</vt:lpstr>
      <vt:lpstr>розр.виробн. дод.3</vt:lpstr>
      <vt:lpstr>Прямі</vt:lpstr>
      <vt:lpstr>Повна собів</vt:lpstr>
      <vt:lpstr>Втрати</vt:lpstr>
      <vt:lpstr>Паливо</vt:lpstr>
      <vt:lpstr>Електр_енерг</vt:lpstr>
      <vt:lpstr>Вода_Водовід</vt:lpstr>
      <vt:lpstr>ЗП_Всього по під-ву</vt:lpstr>
      <vt:lpstr>ЗП_Виробнич</vt:lpstr>
      <vt:lpstr>ЗП_Транспортування</vt:lpstr>
      <vt:lpstr>ЗП_Постачання</vt:lpstr>
      <vt:lpstr>ЗП_ЗагальноВиробнич</vt:lpstr>
      <vt:lpstr>ЗП_Адмін</vt:lpstr>
      <vt:lpstr>ЗП_інша діяльність</vt:lpstr>
      <vt:lpstr>З_вироб</vt:lpstr>
      <vt:lpstr>Адмін</vt:lpstr>
      <vt:lpstr>Амортизація </vt:lpstr>
      <vt:lpstr>Витрати пального</vt:lpstr>
      <vt:lpstr>Витрати мастил</vt:lpstr>
      <vt:lpstr>ПММ всього</vt:lpstr>
      <vt:lpstr>Річ_план_ВТП_ТЕ</vt:lpstr>
      <vt:lpstr>Вхід_дані</vt:lpstr>
      <vt:lpstr>Спецодежда</vt:lpstr>
      <vt:lpstr>Охорон_ прац</vt:lpstr>
      <vt:lpstr>структура 1 Гкал</vt:lpstr>
      <vt:lpstr>Вхід_дані!Заголовки_для_печати</vt:lpstr>
      <vt:lpstr>Адмін!Область_печати</vt:lpstr>
      <vt:lpstr>'Амортизація '!Область_печати</vt:lpstr>
      <vt:lpstr>'Витрати пального'!Область_печати</vt:lpstr>
      <vt:lpstr>Вода_Водовід!Область_печати</vt:lpstr>
      <vt:lpstr>Вхід_дані!Область_печати</vt:lpstr>
      <vt:lpstr>'дод.2тариф ТЕ'!Область_печати</vt:lpstr>
      <vt:lpstr>Електр_енерг!Область_печати</vt:lpstr>
      <vt:lpstr>З_вироб!Область_печати</vt:lpstr>
      <vt:lpstr>ЗП_Адмін!Область_печати</vt:lpstr>
      <vt:lpstr>ЗП_Виробнич!Область_печати</vt:lpstr>
      <vt:lpstr>'ЗП_Всього по під-ву'!Область_печати</vt:lpstr>
      <vt:lpstr>ЗП_ЗагальноВиробнич!Область_печати</vt:lpstr>
      <vt:lpstr>'ЗП_інша діяльність'!Область_печати</vt:lpstr>
      <vt:lpstr>ЗП_Постачання!Область_печати</vt:lpstr>
      <vt:lpstr>ЗП_Транспортування!Область_печати</vt:lpstr>
      <vt:lpstr>'Охорон_ прац'!Область_печати</vt:lpstr>
      <vt:lpstr>Паливо!Область_печати</vt:lpstr>
      <vt:lpstr>'ПММ всього'!Область_печати</vt:lpstr>
      <vt:lpstr>'Повна собів'!Область_печати</vt:lpstr>
      <vt:lpstr>Прямі!Область_печати</vt:lpstr>
      <vt:lpstr>Річ_план_ВТП_ТЕ!Область_печати</vt:lpstr>
      <vt:lpstr>'розр. пост. дод.5'!Область_печати</vt:lpstr>
      <vt:lpstr>'розр.виробн. дод.3'!Область_печати</vt:lpstr>
      <vt:lpstr>'Розрахунок прибутку'!Область_печати</vt:lpstr>
      <vt:lpstr>'Тариф двостав ТЕ Дод.1'!Область_печати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В. Дмитриевский</dc:creator>
  <cp:lastModifiedBy>SOS</cp:lastModifiedBy>
  <cp:lastPrinted>2021-08-13T06:48:08Z</cp:lastPrinted>
  <dcterms:created xsi:type="dcterms:W3CDTF">1998-10-01T11:08:44Z</dcterms:created>
  <dcterms:modified xsi:type="dcterms:W3CDTF">2021-08-13T07:13:25Z</dcterms:modified>
</cp:coreProperties>
</file>